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tables/table1.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3.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tables/table4.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DieseArbeitsmappe" defaultThemeVersion="166925"/>
  <mc:AlternateContent xmlns:mc="http://schemas.openxmlformats.org/markup-compatibility/2006">
    <mc:Choice Requires="x15">
      <x15ac:absPath xmlns:x15ac="http://schemas.microsoft.com/office/spreadsheetml/2010/11/ac" url="C:\Users\Konrektor2\Downloads\"/>
    </mc:Choice>
  </mc:AlternateContent>
  <xr:revisionPtr revIDLastSave="0" documentId="8_{C5E091CF-FB8D-4E1A-9D6E-BF5B08282349}" xr6:coauthVersionLast="47" xr6:coauthVersionMax="47" xr10:uidLastSave="{00000000-0000-0000-0000-000000000000}"/>
  <bookViews>
    <workbookView xWindow="28680" yWindow="-120" windowWidth="29040" windowHeight="15840" tabRatio="904" xr2:uid="{00000000-000D-0000-FFFF-FFFF00000000}"/>
  </bookViews>
  <sheets>
    <sheet name="Überblick" sheetId="1" r:id="rId1"/>
    <sheet name="CO2-Reduktionspfad_alt" sheetId="42" state="hidden" r:id="rId2"/>
    <sheet name="Abfall" sheetId="32" r:id="rId3"/>
    <sheet name="Einkauf" sheetId="23" r:id="rId4"/>
    <sheet name="Ernährung" sheetId="16" r:id="rId5"/>
    <sheet name="Kohlenstoffbindung" sheetId="18" r:id="rId6"/>
    <sheet name="Kommunikation" sheetId="17" r:id="rId7"/>
    <sheet name="Faktoren" sheetId="25" state="veryHidden" r:id="rId8"/>
    <sheet name="Strom" sheetId="21" r:id="rId9"/>
    <sheet name="Quellen" sheetId="28" state="veryHidden" r:id="rId10"/>
    <sheet name="Wärme" sheetId="22" r:id="rId11"/>
    <sheet name="Mobilität" sheetId="19" r:id="rId12"/>
    <sheet name="17 SDGs" sheetId="39" r:id="rId13"/>
    <sheet name="KW-Anpassung" sheetId="37" r:id="rId14"/>
    <sheet name="Kompensation" sheetId="41" r:id="rId15"/>
    <sheet name="CO2-Reduktionspfad" sheetId="43" r:id="rId16"/>
    <sheet name="FAQ" sheetId="24" r:id="rId17"/>
    <sheet name="Anleitung" sheetId="33" state="veryHidden" r:id="rId18"/>
    <sheet name="Übersicht Emissionsfaktoren" sheetId="27" state="veryHidden" r:id="rId19"/>
    <sheet name="Schlüsselprojekt" sheetId="2" state="veryHidden" r:id="rId20"/>
    <sheet name="Status" sheetId="3" state="veryHidden" r:id="rId21"/>
  </sheets>
  <externalReferences>
    <externalReference r:id="rId2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32" l="1"/>
  <c r="R12" i="23"/>
  <c r="Q12" i="16"/>
  <c r="J15" i="32"/>
  <c r="J17" i="19"/>
  <c r="R13" i="19"/>
  <c r="Q12" i="32"/>
  <c r="R10" i="23"/>
  <c r="R13" i="23"/>
  <c r="Q13" i="16"/>
  <c r="R12" i="19"/>
  <c r="R11" i="19" l="1"/>
  <c r="Q9" i="16"/>
  <c r="C16" i="43"/>
  <c r="R8" i="19" l="1"/>
  <c r="R9" i="19"/>
  <c r="R10" i="19"/>
  <c r="Q10" i="32"/>
  <c r="Q11" i="32"/>
  <c r="Q13" i="32"/>
  <c r="H29" i="41" l="1"/>
  <c r="E18" i="43" s="1"/>
  <c r="R8" i="21"/>
  <c r="E6" i="32" l="1"/>
  <c r="E40" i="25"/>
  <c r="D23" i="43" l="1"/>
  <c r="D25" i="43" s="1"/>
  <c r="C18" i="43" l="1"/>
  <c r="D22" i="43"/>
  <c r="E22" i="43"/>
  <c r="F22" i="43" s="1"/>
  <c r="G22" i="43" s="1"/>
  <c r="H22" i="43" s="1"/>
  <c r="I22" i="43" s="1"/>
  <c r="J22" i="43" s="1"/>
  <c r="K22" i="43" s="1"/>
  <c r="L22" i="43" s="1"/>
  <c r="M22" i="43" s="1"/>
  <c r="N22" i="43" s="1"/>
  <c r="D28" i="42"/>
  <c r="C28" i="42"/>
  <c r="C27" i="42"/>
  <c r="C24" i="42"/>
  <c r="C26" i="42" s="1"/>
  <c r="E33" i="1"/>
  <c r="E68" i="1"/>
  <c r="E50" i="1"/>
  <c r="E66" i="1"/>
  <c r="E64" i="1"/>
  <c r="E62" i="1"/>
  <c r="E60" i="1"/>
  <c r="E48" i="1"/>
  <c r="E46" i="1"/>
  <c r="E44" i="1"/>
  <c r="E42" i="1"/>
  <c r="E31" i="1"/>
  <c r="E29" i="1"/>
  <c r="E27" i="1"/>
  <c r="E25" i="1"/>
  <c r="D23" i="42"/>
  <c r="C23" i="42"/>
  <c r="G6" i="32"/>
  <c r="F6" i="32"/>
  <c r="E23" i="42" l="1"/>
  <c r="F23" i="42" s="1"/>
  <c r="G23" i="42" s="1"/>
  <c r="H23" i="42" s="1"/>
  <c r="I23" i="42" s="1"/>
  <c r="J23" i="42" s="1"/>
  <c r="K23" i="42" s="1"/>
  <c r="L23" i="42" s="1"/>
  <c r="M23" i="42" s="1"/>
  <c r="J14" i="23"/>
  <c r="F17" i="41"/>
  <c r="E17" i="41"/>
  <c r="D17" i="41"/>
  <c r="J15" i="22"/>
  <c r="G6" i="22"/>
  <c r="F6" i="22"/>
  <c r="E6" i="22"/>
  <c r="J16" i="21"/>
  <c r="G6" i="21"/>
  <c r="F6" i="21"/>
  <c r="E6" i="21"/>
  <c r="G6" i="19"/>
  <c r="F6" i="19"/>
  <c r="E6" i="19"/>
  <c r="G6" i="17"/>
  <c r="F6" i="17"/>
  <c r="E6" i="17"/>
  <c r="G6" i="18"/>
  <c r="F6" i="18"/>
  <c r="E6" i="18"/>
  <c r="E16" i="43" l="1"/>
  <c r="C18" i="42"/>
  <c r="G12" i="39"/>
  <c r="F12" i="39"/>
  <c r="E12" i="39"/>
  <c r="G6" i="37"/>
  <c r="F6" i="37"/>
  <c r="E6" i="37"/>
  <c r="J16" i="16"/>
  <c r="C16" i="42" s="1"/>
  <c r="F26" i="42" l="1"/>
  <c r="F27" i="42" s="1"/>
  <c r="F28" i="42" s="1"/>
  <c r="D26" i="42"/>
  <c r="D27" i="42" s="1"/>
  <c r="C17" i="42"/>
  <c r="E26" i="42"/>
  <c r="E27" i="42" s="1"/>
  <c r="E28" i="42" s="1"/>
  <c r="I26" i="42"/>
  <c r="I27" i="42" s="1"/>
  <c r="I28" i="42" s="1"/>
  <c r="K26" i="42"/>
  <c r="K27" i="42" s="1"/>
  <c r="K28" i="42" s="1"/>
  <c r="L26" i="42"/>
  <c r="L27" i="42" s="1"/>
  <c r="L28" i="42" s="1"/>
  <c r="M26" i="42"/>
  <c r="M27" i="42" s="1"/>
  <c r="M28" i="42" s="1"/>
  <c r="J26" i="42"/>
  <c r="J27" i="42" s="1"/>
  <c r="J28" i="42" s="1"/>
  <c r="H26" i="42"/>
  <c r="H27" i="42" s="1"/>
  <c r="H28" i="42" s="1"/>
  <c r="G26" i="42"/>
  <c r="G27" i="42" s="1"/>
  <c r="G28" i="42" s="1"/>
  <c r="M16" i="43" l="1"/>
  <c r="E23" i="43"/>
  <c r="E25" i="43" s="1"/>
  <c r="H23" i="43"/>
  <c r="H25" i="43" s="1"/>
  <c r="N23" i="43"/>
  <c r="N25" i="43" s="1"/>
  <c r="G23" i="43"/>
  <c r="G25" i="43" s="1"/>
  <c r="M23" i="43"/>
  <c r="M25" i="43" s="1"/>
  <c r="K23" i="43"/>
  <c r="K25" i="43" s="1"/>
  <c r="L23" i="43"/>
  <c r="L25" i="43" s="1"/>
  <c r="J23" i="43"/>
  <c r="J25" i="43" s="1"/>
  <c r="F23" i="43"/>
  <c r="F25" i="43" s="1"/>
  <c r="I23" i="43"/>
  <c r="I25" i="43" s="1"/>
  <c r="G6" i="23"/>
  <c r="F6" i="23"/>
  <c r="E6" i="23"/>
  <c r="G6" i="16"/>
  <c r="F6" i="16"/>
  <c r="E6" i="16"/>
  <c r="Q27" i="22" l="1"/>
  <c r="Q19" i="22"/>
  <c r="Q20" i="22"/>
  <c r="Q21" i="22"/>
  <c r="Q22" i="22"/>
  <c r="Q23" i="22"/>
  <c r="Q25" i="22"/>
  <c r="Q24" i="22"/>
  <c r="Q26" i="22"/>
  <c r="R11" i="21"/>
  <c r="R13" i="21"/>
  <c r="R10" i="21"/>
  <c r="E119" i="25"/>
  <c r="E118" i="25"/>
  <c r="E117" i="25"/>
  <c r="E109" i="25"/>
  <c r="E108" i="25"/>
  <c r="E102" i="25"/>
  <c r="E101" i="25"/>
  <c r="E100" i="25"/>
  <c r="E104" i="25"/>
  <c r="E103" i="25"/>
  <c r="E99" i="25"/>
  <c r="E98" i="25"/>
  <c r="E97" i="25"/>
  <c r="E94" i="25"/>
  <c r="E93" i="25"/>
  <c r="E96" i="25"/>
  <c r="E95" i="25"/>
  <c r="E92" i="25"/>
  <c r="E91" i="25"/>
  <c r="E87" i="25"/>
  <c r="E86" i="25"/>
  <c r="E85" i="25"/>
  <c r="E84" i="25"/>
  <c r="E90" i="25"/>
  <c r="E89" i="25"/>
  <c r="E88" i="25"/>
  <c r="E83" i="25"/>
  <c r="E82" i="25"/>
  <c r="E81" i="25"/>
  <c r="E78" i="25"/>
  <c r="E77" i="25"/>
  <c r="E76" i="25"/>
  <c r="E75" i="25"/>
  <c r="E74" i="25"/>
  <c r="E73" i="25"/>
  <c r="E72" i="25"/>
  <c r="E69" i="25"/>
  <c r="E68" i="25"/>
  <c r="E67" i="25"/>
  <c r="E66" i="25"/>
  <c r="E62" i="25"/>
  <c r="E61" i="25"/>
  <c r="E121" i="25"/>
  <c r="E112" i="25"/>
  <c r="E79" i="25"/>
  <c r="E70" i="25"/>
  <c r="E71" i="25"/>
  <c r="E80" i="25"/>
  <c r="E113" i="25"/>
  <c r="E122" i="25"/>
  <c r="S11" i="22"/>
  <c r="S10" i="22"/>
  <c r="S9" i="22"/>
  <c r="S8" i="22"/>
  <c r="E116" i="25"/>
  <c r="E107" i="25"/>
  <c r="E65" i="25"/>
  <c r="E60" i="25"/>
  <c r="E115" i="25"/>
  <c r="E106" i="25"/>
  <c r="E64" i="25"/>
  <c r="E59" i="25"/>
  <c r="E120" i="25"/>
  <c r="E114" i="25"/>
  <c r="E111" i="25"/>
  <c r="E110" i="25"/>
  <c r="E105" i="25"/>
  <c r="E63" i="25"/>
  <c r="E39" i="25" l="1"/>
  <c r="E36" i="25"/>
  <c r="E46" i="25" l="1"/>
  <c r="E52" i="25"/>
  <c r="E51" i="25"/>
  <c r="E50" i="25"/>
  <c r="E49" i="25"/>
  <c r="R9" i="21" s="1"/>
  <c r="E48" i="25"/>
  <c r="E47" i="25"/>
  <c r="Q10" i="16"/>
  <c r="Q8" i="16"/>
  <c r="Q15" i="16"/>
  <c r="E42" i="25"/>
  <c r="E33" i="25"/>
  <c r="E30" i="25"/>
  <c r="E6" i="27" l="1"/>
  <c r="E7" i="27" s="1"/>
  <c r="E8" i="27"/>
  <c r="E14" i="27"/>
  <c r="E15" i="27"/>
  <c r="E16" i="27"/>
  <c r="E10" i="25" s="1"/>
  <c r="E17" i="27"/>
  <c r="E11" i="25" s="1"/>
  <c r="E18" i="27"/>
  <c r="E19" i="27"/>
  <c r="E20" i="27"/>
  <c r="E22" i="27"/>
  <c r="E19" i="25" s="1"/>
  <c r="E23" i="27"/>
  <c r="E20" i="25" s="1"/>
  <c r="E29" i="27"/>
  <c r="E30" i="27"/>
  <c r="E28" i="27" s="1"/>
  <c r="E31" i="27"/>
  <c r="E33" i="27"/>
  <c r="E34" i="27"/>
  <c r="E35" i="27"/>
  <c r="E37" i="27"/>
  <c r="E38" i="27"/>
  <c r="E39" i="27"/>
  <c r="E40" i="27"/>
  <c r="E41" i="27"/>
  <c r="E45" i="27"/>
  <c r="E29" i="25" s="1"/>
  <c r="E47" i="27"/>
  <c r="E31" i="25" s="1"/>
  <c r="E48" i="27"/>
  <c r="E32" i="25" s="1"/>
  <c r="E50" i="27"/>
  <c r="E34" i="25" s="1"/>
  <c r="E53" i="27"/>
  <c r="E54" i="27"/>
  <c r="E57" i="27"/>
  <c r="E56" i="27" s="1"/>
  <c r="E58" i="27"/>
  <c r="E60" i="27"/>
  <c r="E61" i="27"/>
  <c r="E63" i="27"/>
  <c r="E64" i="27"/>
  <c r="E62" i="27" s="1"/>
  <c r="E66" i="27"/>
  <c r="E65" i="27" s="1"/>
  <c r="E67" i="27"/>
  <c r="E69" i="27"/>
  <c r="E74" i="27"/>
  <c r="E75" i="27"/>
  <c r="E73" i="27" s="1"/>
  <c r="E86" i="27"/>
  <c r="E87" i="27"/>
  <c r="E89" i="27"/>
  <c r="E90" i="27"/>
  <c r="E92" i="27"/>
  <c r="E93" i="27"/>
  <c r="E96" i="27"/>
  <c r="E97" i="27"/>
  <c r="E98" i="27"/>
  <c r="E100" i="27"/>
  <c r="E102" i="27"/>
  <c r="E103" i="27"/>
  <c r="E104" i="27"/>
  <c r="E105" i="27"/>
  <c r="E106" i="27"/>
  <c r="E121" i="27"/>
  <c r="E120" i="27" s="1"/>
  <c r="E123" i="27" s="1"/>
  <c r="E122" i="27"/>
  <c r="E126" i="27"/>
  <c r="E127" i="27"/>
  <c r="E6" i="25"/>
  <c r="E4" i="25"/>
  <c r="E36" i="27" l="1"/>
  <c r="E32" i="27"/>
  <c r="E59" i="27"/>
  <c r="E27" i="25"/>
  <c r="E26" i="25"/>
  <c r="E16" i="25"/>
  <c r="E12" i="25"/>
  <c r="E21" i="27"/>
  <c r="E15" i="25" s="1"/>
  <c r="E17" i="25"/>
  <c r="E28" i="25"/>
  <c r="E125" i="27"/>
  <c r="E9" i="25"/>
  <c r="R8" i="23" s="1"/>
  <c r="E38" i="25"/>
  <c r="E37" i="25"/>
  <c r="E14" i="25"/>
  <c r="E13" i="25"/>
  <c r="E18" i="25"/>
  <c r="E44" i="25"/>
  <c r="E43" i="25"/>
  <c r="E41" i="25"/>
  <c r="E25" i="25"/>
  <c r="E23" i="25"/>
  <c r="Q11" i="16" s="1"/>
  <c r="E24" i="25"/>
  <c r="E5" i="25"/>
</calcChain>
</file>

<file path=xl/sharedStrings.xml><?xml version="1.0" encoding="utf-8"?>
<sst xmlns="http://schemas.openxmlformats.org/spreadsheetml/2006/main" count="1796" uniqueCount="955">
  <si>
    <t>Hinweise zum Umgang mit den Planungstabellen</t>
  </si>
  <si>
    <t xml:space="preserve">Unten finden Sie in den farbigen Registern zu jedem Handlungsfeld eine eigene Planungstabelle. </t>
  </si>
  <si>
    <t>Tragen Sie dort zeilenweise die Klimaschutzmaßnahmen ein, die Ihre Schule umsetzen möchten oder bereits umgesetzt hat. Auch Maßnahmen, die in der Vergangenheit bereits umgesetzt worden sind, können zur Dokumentation eingetragen werden. Zusätzlich müssen aber auch immer zukünftige Maßnahmen in einem Handlungsfeld enthalten sein.  
Für die Erstzertifizierung sind die ersten acht Handlungsfelder relevant. Die letzten drei Handlungsfelder sind freiwillig. Für die Rezertifizierung ist zusätzlich das Handlungsfeld "17 SDGs" in den Zertifizierungsstufen Silber und Gold verpflichtend.</t>
  </si>
  <si>
    <r>
      <t>Im Reiter "CO</t>
    </r>
    <r>
      <rPr>
        <vertAlign val="subscript"/>
        <sz val="12"/>
        <color theme="1"/>
        <rFont val="Calibri"/>
        <family val="2"/>
        <scheme val="minor"/>
      </rPr>
      <t>2</t>
    </r>
    <r>
      <rPr>
        <sz val="12"/>
        <color theme="1"/>
        <rFont val="Calibri"/>
        <family val="2"/>
        <scheme val="minor"/>
      </rPr>
      <t>-Reduktionspfad" entwicklen Schulen, die in der Zertifizierungsstufe Gold ausgezeichnet werden möchten, einen CO</t>
    </r>
    <r>
      <rPr>
        <vertAlign val="subscript"/>
        <sz val="12"/>
        <color theme="1"/>
        <rFont val="Calibri"/>
        <family val="2"/>
        <scheme val="minor"/>
      </rPr>
      <t>2</t>
    </r>
    <r>
      <rPr>
        <sz val="12"/>
        <color theme="1"/>
        <rFont val="Calibri"/>
        <family val="2"/>
        <scheme val="minor"/>
      </rPr>
      <t>-Reduktionspfad für die kommenden 10 Jahre. 
Bei Schwierigkeiten im Umgang mit den Vorlagen finden Sie im Reiter "FAQ" weitere Hinweise sowie auf der Website des Programms Klimaschule Bayern: www.klimaschule.bayern.de/klimaschutzplan/. Gerne können Sie sich auch an die Landeskoordination des Programms Klimaschule wenden: info@klimaschule.bayern.de</t>
    </r>
  </si>
  <si>
    <t>Basisangaben (bitte ausfüllen)</t>
  </si>
  <si>
    <t xml:space="preserve">Bitte tragen Sie im Folgenden ein, wann die Bewerbung zur Erstzertifizierung geplant ist. Das Kalenderjahr für die 2. oder 3. Bewerbungen wird erst eingetragen, wenn die 2. bzw. 3. Bewerbung erfolgt. </t>
  </si>
  <si>
    <t>Zeitpunkt der ersten Bewerbung zur Klimaschule</t>
  </si>
  <si>
    <t>Zeitpunkt der zweiten Bewerbung (Rezertifierung)</t>
  </si>
  <si>
    <t>Zeitpunkt dritten Bewerbung (Rezertifierung)</t>
  </si>
  <si>
    <t>Überblick über die Anzahl der Maßnahmen im Klimaschutzplans (Erstzertifizierung)</t>
  </si>
  <si>
    <r>
      <t xml:space="preserve">Die folgende Übersicht gibt einen Überblick über die Anzahl der Maßnahmen im Klimaschutzplan und spiegelt den aktuellen Stand der Umsetzung wider. Darin enthalten sind auch diejenigen Maßnahmen, die in den freiwilligen Handlungsfeldern "Klimawandelanpassung", "Weitere Projekte zu den 17 Nachhaltigkeitszielen" sowie "Kompensation" aufgeführt sind.  
Die Übersicht wird automatisch ergänzt und erfordert hier keine eigenen Eintragungen. 
Die </t>
    </r>
    <r>
      <rPr>
        <sz val="12"/>
        <color rgb="FFFF0000"/>
        <rFont val="Calibri"/>
        <family val="2"/>
        <scheme val="minor"/>
      </rPr>
      <t>rote Kategorie</t>
    </r>
    <r>
      <rPr>
        <sz val="12"/>
        <color theme="1"/>
        <rFont val="Calibri"/>
        <family val="2"/>
        <scheme val="minor"/>
      </rPr>
      <t xml:space="preserve"> "Anzahl der nicht umsetzbaren Maßnahmen" wird in der Regel erst beim zweiten Klimachutzplan (Rezertifizierung) relevant, wenn geplante Klimaschutzmaßnahmen nicht umgesetzt werden konnten.</t>
    </r>
  </si>
  <si>
    <t>Anzahl aller Maßnahmen im Klimaschutzplan</t>
  </si>
  <si>
    <t>Anzahl der umgesetzen Maßnahmen</t>
  </si>
  <si>
    <t>Anzahl der in Umsetzung befindlichen Maßnahmen</t>
  </si>
  <si>
    <t>Anzahl der zukünftig geplanten Maßnahmen</t>
  </si>
  <si>
    <t xml:space="preserve">Anzahl der nicht umsetzbaren Maßnahmen </t>
  </si>
  <si>
    <t>Überblick über die Anzahl der Maßnahmen im Klimaschutzplans (1. Rezertifizierung)</t>
  </si>
  <si>
    <t xml:space="preserve">Die folgende Übersicht gibt einen Überblick über die Anzahl der Maßnahmen im Klimaschutzplan und spiegelt den Stand der Umsetzung zum Zeitpunkt der ersten Rezertifizierung wider. Die Übersicht wird ebenfalls automatisch ergänzt und erfordert keine eigenen Eintragungen. 
</t>
  </si>
  <si>
    <t>Überblick über die Anzahl der Maßnahmen im Klimaschutzplans (2. Rezertifizierung)</t>
  </si>
  <si>
    <t xml:space="preserve">Die folgende Übersicht gibt einen Überblick über die Anzahl der Maßnahmen im Klimaschutzplan und spiegelt den Stand der Umsetzung zum Zeitpunkt der zweiten Rezertifizierung wider. Die Übersicht wird ebenfalls automatisch ergänzt und erfordert  keine eigenen Eintragungen. 
</t>
  </si>
  <si>
    <t>Version: 15.11.2024</t>
  </si>
  <si>
    <r>
      <t>Der CO</t>
    </r>
    <r>
      <rPr>
        <vertAlign val="subscript"/>
        <sz val="16"/>
        <rFont val="Calibri"/>
        <family val="2"/>
        <scheme val="minor"/>
      </rPr>
      <t>2</t>
    </r>
    <r>
      <rPr>
        <sz val="16"/>
        <rFont val="Calibri"/>
        <family val="2"/>
        <scheme val="minor"/>
      </rPr>
      <t xml:space="preserve">-Reduktionspfad </t>
    </r>
  </si>
  <si>
    <t>Schulen, die die Zertifizierungsstufe Klimaschule Gold, müssen einen CO2-Reduktionspfad für die nächsten 10 Jahre, ausgehend von der ersten Treibhausgasbilanz der Schule,  entwicklen. Der CO2-Reduktionspfad ergibt sich aus den geplanten Klimaschutzmaßnahmen und den damit verbunden CO2-Einsparpotentialen, die von Schulen mithilfe des CO2-Einsparungsrechner berechnet werden müssen.</t>
  </si>
  <si>
    <t>Ausgangssituation (Bitte ausfüllen)</t>
  </si>
  <si>
    <t xml:space="preserve">Kalenderjahr der ersten Treibhausgasbilanz </t>
  </si>
  <si>
    <r>
      <t>Ergebnis des ersten Treibhausgasbilanz in Tonnen laut
des CO</t>
    </r>
    <r>
      <rPr>
        <b/>
        <vertAlign val="subscript"/>
        <sz val="12"/>
        <rFont val="Calibri"/>
        <family val="2"/>
        <scheme val="minor"/>
      </rPr>
      <t>2</t>
    </r>
    <r>
      <rPr>
        <b/>
        <sz val="12"/>
        <rFont val="Calibri"/>
        <family val="2"/>
        <scheme val="minor"/>
      </rPr>
      <t>-Rechners für Schulen</t>
    </r>
  </si>
  <si>
    <r>
      <t>Geplante jährliche CO</t>
    </r>
    <r>
      <rPr>
        <vertAlign val="subscript"/>
        <sz val="12"/>
        <rFont val="Calibri"/>
        <family val="2"/>
        <scheme val="minor"/>
      </rPr>
      <t>2</t>
    </r>
    <r>
      <rPr>
        <sz val="12"/>
        <rFont val="Calibri"/>
        <family val="2"/>
        <scheme val="minor"/>
      </rPr>
      <t xml:space="preserve">-Einsparung aller Maßnahmen laut Klimaschutzplan 10 Jahre im voraus. Hierbei handelt es sich um Maßnahmen, die dauerhaft den CO2-Fußabdruck der Schule senken. </t>
    </r>
  </si>
  <si>
    <t>Geplante prozentuale Einsparung im Vergleich zum ersten Treibhausgasbilanz.</t>
  </si>
  <si>
    <t>Die geplante Einsparung wird ab der ersten Startbilanz gleichmäßig auf die folgenden 10 Jahre verteilt und liefert den geplanten CO2-Reduktionspfad</t>
  </si>
  <si>
    <t>Gesamte geplante Kompensationsleistung laut Klimaschutzplan</t>
  </si>
  <si>
    <t>Real ohne Kompensation</t>
  </si>
  <si>
    <r>
      <t>Reale Treibhausgasemissionen laut CO</t>
    </r>
    <r>
      <rPr>
        <vertAlign val="subscript"/>
        <sz val="12"/>
        <rFont val="Calibri"/>
        <family val="2"/>
        <scheme val="minor"/>
      </rPr>
      <t>2</t>
    </r>
    <r>
      <rPr>
        <sz val="12"/>
        <rFont val="Calibri"/>
        <family val="2"/>
        <scheme val="minor"/>
      </rPr>
      <t xml:space="preserve">-Rechner für Schulen ohne Kompensationsmaßnahmen </t>
    </r>
    <r>
      <rPr>
        <b/>
        <sz val="12"/>
        <rFont val="Calibri"/>
        <family val="2"/>
        <scheme val="minor"/>
      </rPr>
      <t>(bitte eintragen)</t>
    </r>
  </si>
  <si>
    <t>Real mit Kompensation</t>
  </si>
  <si>
    <r>
      <t>Reale Treibhausgasemissionen laut CO</t>
    </r>
    <r>
      <rPr>
        <vertAlign val="subscript"/>
        <sz val="12"/>
        <rFont val="Calibri"/>
        <family val="2"/>
        <scheme val="minor"/>
      </rPr>
      <t>2</t>
    </r>
    <r>
      <rPr>
        <sz val="12"/>
        <rFont val="Calibri"/>
        <family val="2"/>
        <scheme val="minor"/>
      </rPr>
      <t>-Rechner für Schulen mit Kompensationsmaßnahmen</t>
    </r>
    <r>
      <rPr>
        <b/>
        <sz val="12"/>
        <rFont val="Calibri"/>
        <family val="2"/>
        <scheme val="minor"/>
      </rPr>
      <t xml:space="preserve"> (bitte eintragen)</t>
    </r>
  </si>
  <si>
    <t>Ziele ohne Kompensation</t>
  </si>
  <si>
    <r>
      <t>CO</t>
    </r>
    <r>
      <rPr>
        <vertAlign val="subscript"/>
        <sz val="12"/>
        <rFont val="Calibri"/>
        <family val="2"/>
        <scheme val="minor"/>
      </rPr>
      <t>2</t>
    </r>
    <r>
      <rPr>
        <sz val="12"/>
        <rFont val="Calibri"/>
        <family val="2"/>
        <scheme val="minor"/>
      </rPr>
      <t>-Emissionsziele der Schule laut Klimaschutzplan</t>
    </r>
    <r>
      <rPr>
        <b/>
        <sz val="12"/>
        <rFont val="Calibri"/>
        <family val="2"/>
        <scheme val="minor"/>
      </rPr>
      <t xml:space="preserve"> ohne Kompensationsmaßnahmen</t>
    </r>
  </si>
  <si>
    <t>gleichmäßige Verteilung ist für mich ok</t>
  </si>
  <si>
    <t>Ziele mit Kompensation</t>
  </si>
  <si>
    <r>
      <t>CO</t>
    </r>
    <r>
      <rPr>
        <vertAlign val="subscript"/>
        <sz val="12"/>
        <rFont val="Calibri"/>
        <family val="2"/>
        <scheme val="minor"/>
      </rPr>
      <t>2</t>
    </r>
    <r>
      <rPr>
        <sz val="12"/>
        <rFont val="Calibri"/>
        <family val="2"/>
        <scheme val="minor"/>
      </rPr>
      <t xml:space="preserve">-Emissionsziele der Schule laut Klimaschutzplan </t>
    </r>
    <r>
      <rPr>
        <b/>
        <sz val="12"/>
        <rFont val="Calibri"/>
        <family val="2"/>
        <scheme val="minor"/>
      </rPr>
      <t>mit  Kompensationsmaßnahmen</t>
    </r>
  </si>
  <si>
    <t>Eine gleichmäßige Vertzeilung macht keinen Sinn!</t>
  </si>
  <si>
    <t>Nr.</t>
  </si>
  <si>
    <t>Maßnahme</t>
  </si>
  <si>
    <r>
      <t>Beschreibung der Maßnahme und
Form der CO</t>
    </r>
    <r>
      <rPr>
        <vertAlign val="subscript"/>
        <sz val="9"/>
        <color theme="0"/>
        <rFont val="Calibri"/>
        <family val="2"/>
        <scheme val="minor"/>
      </rPr>
      <t>2</t>
    </r>
    <r>
      <rPr>
        <sz val="9"/>
        <color theme="0"/>
        <rFont val="Calibri"/>
        <family val="2"/>
        <scheme val="minor"/>
      </rPr>
      <t>-Einsparung</t>
    </r>
  </si>
  <si>
    <t>Start der Maßnahme</t>
  </si>
  <si>
    <t>Verantwortlich 
&amp; Akteure für die Umsetzung</t>
  </si>
  <si>
    <t>Reichweite</t>
  </si>
  <si>
    <r>
      <t>CO</t>
    </r>
    <r>
      <rPr>
        <vertAlign val="subscript"/>
        <sz val="9"/>
        <color theme="0"/>
        <rFont val="Calibri"/>
        <family val="2"/>
        <scheme val="minor"/>
      </rPr>
      <t>2</t>
    </r>
    <r>
      <rPr>
        <sz val="9"/>
        <color theme="0"/>
        <rFont val="Calibri"/>
        <family val="2"/>
        <scheme val="minor"/>
      </rPr>
      <t>-Einsparpotential 
pro Jahr</t>
    </r>
  </si>
  <si>
    <r>
      <t>Ziel: CO</t>
    </r>
    <r>
      <rPr>
        <vertAlign val="subscript"/>
        <sz val="9"/>
        <color theme="0"/>
        <rFont val="Calibri"/>
        <family val="2"/>
        <scheme val="minor"/>
      </rPr>
      <t>2</t>
    </r>
    <r>
      <rPr>
        <sz val="9"/>
        <color theme="0"/>
        <rFont val="Calibri"/>
        <family val="2"/>
        <scheme val="minor"/>
      </rPr>
      <t>-Einsparpotential 
erreicht bis</t>
    </r>
  </si>
  <si>
    <r>
      <t>Maßnahmen, die zur Berechnung von CO</t>
    </r>
    <r>
      <rPr>
        <vertAlign val="subscript"/>
        <sz val="9"/>
        <color theme="0"/>
        <rFont val="Calibri"/>
        <family val="2"/>
        <scheme val="minor"/>
      </rPr>
      <t>2</t>
    </r>
    <r>
      <rPr>
        <sz val="9"/>
        <color theme="0"/>
        <rFont val="Calibri"/>
        <family val="2"/>
        <scheme val="minor"/>
      </rPr>
      <t>-Reduktionen geeignet sind</t>
    </r>
  </si>
  <si>
    <t>Zugehörige Maßnahme im Klimaschutzplan</t>
  </si>
  <si>
    <t>Aktueller Müllverbrauch 
pro Jahr</t>
  </si>
  <si>
    <t>Geplante Einsparung 
pro Jahr in %</t>
  </si>
  <si>
    <r>
      <t>Geplante CO</t>
    </r>
    <r>
      <rPr>
        <vertAlign val="subscript"/>
        <sz val="9"/>
        <color theme="0"/>
        <rFont val="Calibri"/>
        <family val="2"/>
        <scheme val="minor"/>
      </rPr>
      <t>2</t>
    </r>
    <r>
      <rPr>
        <sz val="9"/>
        <color theme="0"/>
        <rFont val="Calibri"/>
        <family val="2"/>
        <scheme val="minor"/>
      </rPr>
      <t>-Reduktion 
pro Jahr</t>
    </r>
  </si>
  <si>
    <t>AF1</t>
  </si>
  <si>
    <t>Jede Klasse sammelt auf dem Pausenhof zwei Wochen lang Müll.</t>
  </si>
  <si>
    <t>Jede Klasse sammelt zwei Wochen lang Müll auf dem Pausenhof. Dabei erkennen die Schüler, wie viel Müll alltäglich anfällt und lernen, wie wichtig es ist, Abfall zu vermeiden oder korrekt zu entsorgen. Da momentan nur Restmüll und Papiermüll zur Verfügung stehen, wird der gesammelte Müll entsprechend diesen Kategorien sortiert. Obwohl der Müll momentan nur in Restmüll und Papiermüll getrennt wird, fördert die Sammelaktion das Bewusstsein der Schüler für die Menge an Abfall und die Wichtigkeit von Müllvermeidung. Jede vermiedene Plastiktüte oder Verpackung reduziert den CO₂-Ausstoß, der bei der Produktion und Entsorgung von Einwegmaterialien entsteht.</t>
  </si>
  <si>
    <t>wird laufend umgesetzt</t>
  </si>
  <si>
    <t>Hausmeister &amp; Klassenlehrkräfte</t>
  </si>
  <si>
    <t>Ganze Schule</t>
  </si>
  <si>
    <t>AF2</t>
  </si>
  <si>
    <t>Müllsammelaktion der Stadt Illertissen</t>
  </si>
  <si>
    <t xml:space="preserve"> Die Stadt Illertissen veranstaltet einmal im Jahr eine Müllsammelaktion. An dieser Aktion nehmen alle Schüler der 5. bis 8. Jahrgangsstufe teil. Eine Müllsammelaktion reduziert die Menge an Abfällen, die unkontrolliert in der Natur landen. Müll, der in der Umwelt liegt, zersetzt sich oft nur sehr langsam und kann schädliche Treibhausgase wie Methan freisetzen, insbesondere bei biologischen Abfällen. Durch das Einsammeln und fachgerechte Entsorgen wird verhindert, dass solche Gase entstehen. Zudem wird Recycling ermöglicht: Wertstoffe wie Glas, Metall oder Plastik können aufbereitet und wiederverwendet werden, anstatt neue Rohstoffe zu fördern, was CO2 einspart. Gleichzeitig sensibilisiert die Aktion die Schüler für den Umweltschutz und die Vermeidung von Müll.</t>
  </si>
  <si>
    <t>Stadt Illertissen Florian Pfeiffer</t>
  </si>
  <si>
    <t>Über die Schule hinaus</t>
  </si>
  <si>
    <t>AF3</t>
  </si>
  <si>
    <t>Ausgabe von Papiertüten beim Bäckerverkauf nur auf Nachfrage</t>
  </si>
  <si>
    <t> Wenn Papiertüten nur auf Nachfrage ausgegeben werden, sinkt die Gesamtmenge der produzierten und verwendeten Tüten. Weniger Verbrauch bedeutet weniger Ressourcenverbrauch und Transportaufwand, was den CO2-Ausstoß reduziert</t>
  </si>
  <si>
    <t>Bäckerverkauf</t>
  </si>
  <si>
    <t>AF4</t>
  </si>
  <si>
    <t>Verkauf von wiederverwendbaren Trinkfalschen im Rektorat</t>
  </si>
  <si>
    <r>
      <t>Wiederverwendbare Trinkflaschen reduzieren die Nachfrage nach Einwegplastikflaschen, die in der Herstellung und Entsorgung viel Energie und Ressourcen benötigen.</t>
    </r>
    <r>
      <rPr>
        <sz val="11"/>
        <color theme="1"/>
        <rFont val="Calibri"/>
        <family val="2"/>
        <scheme val="minor"/>
      </rPr>
      <t xml:space="preserve"> </t>
    </r>
    <r>
      <rPr>
        <sz val="9"/>
        <color rgb="FF000000"/>
        <rFont val="Calibri"/>
        <family val="2"/>
        <scheme val="minor"/>
      </rPr>
      <t>Außerdem fördern sie den bewussteren Umgang mit Ressourcen und vermeiden unnötigen Abfall.</t>
    </r>
  </si>
  <si>
    <t>Monika Scherzer</t>
  </si>
  <si>
    <t>AF5</t>
  </si>
  <si>
    <t>Wiederverwendung von alten Büchern als Weihnachtsartikel</t>
  </si>
  <si>
    <t>Die Klasse 5c hat alte, aussortierte Bücher vor dem Wegwerfen bewahrt und die Seiten kreativ genutzt, um daraus weihnachtliche Dekorationen herzustellen und zu verkaufen. Auf diese Weise wurden Abfall vermieden und Ressourcen weiterverwendet. Die Hälfte des Erlöses wurde an Afrika gespendet, um den Bau von Brunnen zu unterstützen. Damit trägt die Aktion sowohl zur Müllvermeidung als auch indirekt zum Klimaschutz bei, da Wiederverwertung CO₂ spart und die Spende nachhaltige Projekte fördert.</t>
  </si>
  <si>
    <t>umgesetzt</t>
  </si>
  <si>
    <t>Anna Tröbelsberger</t>
  </si>
  <si>
    <t>AF6</t>
  </si>
  <si>
    <t>Mülltrennung optimieren</t>
  </si>
  <si>
    <r>
      <t>Bisher wird unser Müll nur nach Papier und Restmüll getrennt, da uns noch keine gelbe Tonne von der Stadt Illertissen genehmigt worden ist. Das soll sich für die Zukunft ändern.</t>
    </r>
    <r>
      <rPr>
        <sz val="11"/>
        <color theme="1"/>
        <rFont val="Calibri"/>
        <family val="2"/>
        <scheme val="minor"/>
      </rPr>
      <t xml:space="preserve"> </t>
    </r>
    <r>
      <rPr>
        <sz val="9"/>
        <color rgb="FF000000"/>
        <rFont val="Calibri"/>
        <family val="2"/>
        <scheme val="minor"/>
      </rPr>
      <t>Eine erweiterte Mülltrennung ermöglicht es, Plastik gezielt zu recyceln. Recycling spart CO2, da für die Wiederverwertung weniger Energie benötigt wird als für die Herstellung neuer Produkte aus Rohstoffen.</t>
    </r>
  </si>
  <si>
    <t>zukünftiger Termin</t>
  </si>
  <si>
    <t>In Umsetzung (Mitte)</t>
  </si>
  <si>
    <t>Monika Scherzer Stephan Deak</t>
  </si>
  <si>
    <t>AF7</t>
  </si>
  <si>
    <t>Word Clean up Day</t>
  </si>
  <si>
    <t>Die Schule nimmt am World Cleanup Day am 20. September 2026 teil, der größten weltweiten Bürgerbewegung zur Bekämpfung von Umweltverschmutzung. An diesem Tag sammeln Schülerinnen und Schüler gemeinsam Müll im Schulumfeld und leisten so einen direkten Beitrag zum Schutz der Natur. Durch das Entfernen von Abfall werden Umwelt und Tiere geschützt, Mikroplastik gelangt seltener in Böden und Gewässer, und die Schüler entwickeln ein stärkeres Bewusstsein dafür, wie wichtig saubere Lebensräume und verantwortungsvolles Verhalten für den Klimaschutz sind.</t>
  </si>
  <si>
    <t>Stephan Deak + Herr Ziegler (Stadt Illertissen)</t>
  </si>
  <si>
    <t>Summen</t>
  </si>
  <si>
    <r>
      <t>Beschreibung der Maßnahme und Form der CO</t>
    </r>
    <r>
      <rPr>
        <vertAlign val="subscript"/>
        <sz val="9"/>
        <color theme="0"/>
        <rFont val="Calibri"/>
        <family val="2"/>
        <scheme val="minor"/>
      </rPr>
      <t>2</t>
    </r>
    <r>
      <rPr>
        <sz val="9"/>
        <color theme="0"/>
        <rFont val="Calibri"/>
        <family val="2"/>
        <scheme val="minor"/>
      </rPr>
      <t>-Einsparung</t>
    </r>
  </si>
  <si>
    <t>Verantwortlich &amp; Akteure für die Umsetzung</t>
  </si>
  <si>
    <t>Aktueller Papierverbrauch 
pro Jahr</t>
  </si>
  <si>
    <t>Geplante Einsparung bzw.
geplante Umstellung pro Jahr in %</t>
  </si>
  <si>
    <r>
      <t>Geplante CO</t>
    </r>
    <r>
      <rPr>
        <vertAlign val="subscript"/>
        <sz val="9"/>
        <color theme="0"/>
        <rFont val="Calibri"/>
        <family val="2"/>
        <scheme val="minor"/>
      </rPr>
      <t>2</t>
    </r>
    <r>
      <rPr>
        <sz val="9"/>
        <color theme="0"/>
        <rFont val="Calibri"/>
        <family val="2"/>
        <scheme val="minor"/>
      </rPr>
      <t>-Reduktion pro Jahr</t>
    </r>
  </si>
  <si>
    <t>EK1</t>
  </si>
  <si>
    <t>ausschließlich Recyclingpapier für Toilette und Papierspender</t>
  </si>
  <si>
    <t>In allen Toiletten und Klassenzimmern wird ausschließlich recyceltes Papier verwendet. Das spart CO², da Recycling weniger CO² ausstößt,  als neues Papier herzustellen</t>
  </si>
  <si>
    <t>Hausmeister, Sekretariat</t>
  </si>
  <si>
    <t>Kopierpapier: Frischfaserpapier durch Recyclingpapier ersetzen</t>
  </si>
  <si>
    <t>EK4</t>
  </si>
  <si>
    <t>EK2</t>
  </si>
  <si>
    <t>Abfallvermeidung im ES-Unterricht</t>
  </si>
  <si>
    <t>Um Abfall zu vermeiden, wird übrig gebliebenes Essen nicht weggeworfen, sondern sinnvoll weiterverwendet: Es wird an die Schülerinnen und Schüler verteilt, bevor es abläuft, oder als Restgericht verkocht. Dadurch werden Lebensmittelverschwendung und unnötige Entsorgung reduziert. Da bei der Produktion von Lebensmitteln bereits CO₂ entsteht, spart man durch das Vermeiden von Lebensmittelabfall CO₂ ein – denn weniger Essen muss neu produziert, transportiert und entsorgt werden.</t>
  </si>
  <si>
    <t>Ulrike Exl</t>
  </si>
  <si>
    <t>Mehrere Jahrgangsstufen</t>
  </si>
  <si>
    <t>EK3</t>
  </si>
  <si>
    <t>Papiereinsparung durch Digitalisierung.</t>
  </si>
  <si>
    <t>Die Kommunikation im Schulleben erfolgt über die digitale Seite Edupage. Digitale Kommunikation reduziert den Verbrauch von Papier, Druckertinte und Energie, die für den Transport von Briefen oder Handzetteln nötig wäre. Statt Ausdrucke oder Elternbriefe zu verschicken, können alle wichtigen Informationen wie Stundenpläne, Mitteilungen oder Aufgaben online bereitgestellt werden. Dies spart nicht nur Ressourcen, sondern verringert auch die CO2-Emissionen, die mit der Herstellung und dem Transport von Papierprodukten verbunden sind.</t>
  </si>
  <si>
    <t>Stephan Deak</t>
  </si>
  <si>
    <t>Kopierpapier: Papierverbrauch reduzieren (Frischfaser)</t>
  </si>
  <si>
    <t>Umweltpapier für alle Ausdrucke</t>
  </si>
  <si>
    <t>Die Schule verwendet intern nur noch Recyclingpapier, um Ressourcen zu schonen und den Papierverbrauch klimafreundlicher zu gestalten. Lediglich Zeugnisse und offizielle Schreiben an höhere Stellen werden weiterhin auf normalem Papier gedruckt, da dies dort vorgeschrieben oder notwendig ist. Durch die Umstellung auf Recyclingpapier werden Energie, Wasser und Holz eingespart, und der CO₂-Ausstoß, der bei der Papierherstellung entsteht, deutlich reduziert. So leistet die Schule einen einfachen, aber wirkungsvollen Beitrag zum Klimaschutz.</t>
  </si>
  <si>
    <t>Papiermüll reduzieren (Einheit m³)</t>
  </si>
  <si>
    <t>EK5</t>
  </si>
  <si>
    <t>Tauschregal</t>
  </si>
  <si>
    <t>Abschlussklassen spenden ihre Bücher und Formelsammlungen, welche die nächstjährige Abschlussklasse verwenden kann. Diese Maßnahme zeigt, wie sinnvoll es ist, Dinge mehrfach zu nutzen, anstatt sie wegzuwerfen, und trägt zu einem nachhaltigen Umgang mit Materialien bei.</t>
  </si>
  <si>
    <t>Florian Pfeiffer</t>
  </si>
  <si>
    <t>EK6</t>
  </si>
  <si>
    <t>Schulflohmarkt</t>
  </si>
  <si>
    <t>Die Schule organisiert einen Schulflohmarkt, bei dem gut erhaltene Gegenstände weiterverkauft oder getauscht werden. Dadurch erhalten Kleidung, Spiele, Bücher und andere Alltagsgegenstände ein zweites Leben, statt im Müll zu landen oder neu gekauft werden zu müssen. Das spart Ressourcen, vermeidet Abfall und reduziert CO₂, weil für wiederverwendete Produkte keine neue Herstellung und keine zusätzlichen Transportwege nötig sind. So fördert der Flohmarkt nachhaltigen Konsum und macht den Schülern anschaulich klar, wie wertvoll Wiederverwendung für den Klimaschutz ist.</t>
  </si>
  <si>
    <t>Pfeiffer Florian</t>
  </si>
  <si>
    <r>
      <t>Maßnahmen, die zur Berechnung von 
CO</t>
    </r>
    <r>
      <rPr>
        <vertAlign val="subscript"/>
        <sz val="9"/>
        <color theme="0"/>
        <rFont val="Calibri"/>
        <family val="2"/>
        <scheme val="minor"/>
      </rPr>
      <t>2</t>
    </r>
    <r>
      <rPr>
        <sz val="9"/>
        <color theme="0"/>
        <rFont val="Calibri"/>
        <family val="2"/>
        <scheme val="minor"/>
      </rPr>
      <t>-Reduktionen geeignet sind</t>
    </r>
  </si>
  <si>
    <t>Aktueller Verbrauch pro Jahr</t>
  </si>
  <si>
    <t>Geplante Einsparung bzw. 
geplante Umstellung 
pro Jahr in %</t>
  </si>
  <si>
    <t>ER1</t>
  </si>
  <si>
    <t>Catering AG</t>
  </si>
  <si>
    <t>Die Catering-AG der EVMS besteht aus mehreren SuS. der Ganztagesklassen. Die AG ist für die Verköstigung von verschiedenen Schul-Veranstaltungen, welche im laufe des Jahres stattfinden, verantwortlich (z. B. Bewerberforum, Tag der offenen Tür, Abschlussfeier). Sie produziert dafür verschiedene passende Speisen (z. B. Kuchen, Gebäck) und bietet diese auch zusammen mit Getränke an. In den AG-Stunden wird dafür vorab ausprobiert und geplant. Die Catering-AG kann CO2 einsparen, indem sie auf regionale, saisonale und möglichst unverpackte Zutaten setzt. Regionale Lebensmittel haben kürzere Transportwege und verursachen weniger CO2-Emissionen, während saisonale Produkte keine energieintensive Lagerung erfordern. Durch das Selberkochen in der Schule werden zudem industrielle Prozesse und Verpackungsmaterialien vermieden, die normalerweise bei Fertigprodukten anfallen.
Zusätzlich kann die AG klimafreundliche Alternativen wie vegetarische oder vegane Speisen ausprobieren, die eine deutlich geringere CO2-Bilanz aufweisen als Fleischprodukte. Das bewusste Planen und Produzieren verhindert außerdem Lebensmittelverschwendung, was ein weiterer wichtiger Beitrag zum Klimaschutz ist.
Darüber hinaus sensibilisiert die Catering-AG die Schüler für nachhaltige Ernährungsweisen, was langfristig auch außerhalb der Schule zu einem klimafreundlicheren Verhalten führen kann.</t>
  </si>
  <si>
    <t>Christine Fuhrmann</t>
  </si>
  <si>
    <t>Getränkeautomat durch Trinkwasserspender ersetzen</t>
  </si>
  <si>
    <t>ER5</t>
  </si>
  <si>
    <t>ER2</t>
  </si>
  <si>
    <t>ausschließlicher Verkauf von Pfandflaschen + Pfandflaschenautomat</t>
  </si>
  <si>
    <t>Pfandflaschen sind wiederverwendbar, was ihren ökologischen Fußabdruck erheblich verringert. Im Vergleich zu Einwegflaschen oder Dosen benötigen sie weniger Ressourcen und Energie für die Produktion und Entsorgung. Jede wiederverwendete Flasche spart CO2-Emissionen, die durch die Herstellung neuer Einwegbehälter entstehen würden.
Ein Pfandflaschenautomat erleichtert die Rückgabe und sorgt dafür, dass leere Flaschen in den Recyclingkreislauf gelangen. Dadurch wird sichergestellt, dass weniger Flaschen im Müll landen und mehr Material wiederverwendet wird.</t>
  </si>
  <si>
    <t>ER3</t>
  </si>
  <si>
    <t>AG Schulgarten</t>
  </si>
  <si>
    <t>Die AG Schulgarten kümmert sich um die Pflege des Schulgartens und baut dort verschiedene Kräuter an. Diese Kräuter werden im Fach „Ernährung und Soziales“ (ES) verwendet, sodass frische, selbst angebaute Zutaten in den Unterricht einfließen. Die Schüler lernen dabei nicht nur den Anbau und die Pflege von Pflanzen, sondern auch den nachhaltigen Umgang mit Lebensmitteln.
Durch den Anbau eigener Kräuter entfällt der Transport von gekauften Kräutern aus dem Supermarkt, die oft über weite Strecken transportiert werden und CO₂ verursachen. Zudem werden Verpackungsmüll und energieintensive Produktionsmethoden vermieden. Frische Kräuter direkt aus dem Schulgarten sind nicht nur nachhaltiger, sondern auch gesünder. Das Projekt stärkt das Bewusstsein der Schüler für regionale und saisonale Lebensmittel und fördert einen ressourcenschonenden Lebensstil.</t>
  </si>
  <si>
    <t>ER4</t>
  </si>
  <si>
    <t>Vegetarische Tage</t>
  </si>
  <si>
    <t>Im Mittagsverkauf wird jeden zweiten Tag ausschließlich vegetarische Gerichte angeboten.  Die Produktion von Fleisch verursacht deutlich mehr CO2-Emissionen als die Herstellung pflanzlicher Lebensmittel. Wenn jeden zweiten Tag vegetarische Gerichte angeboten werden, sinkt der Fleischkonsum, und dadurch wird die CO2-Belastung reduziert. Zudem zeigt diese Maßnahme, wie lecker und vielseitig vegetarisches Essen sein kann, was langfristig zu einem nachhaltigeren Essverhalten beiträgt.</t>
  </si>
  <si>
    <t>Mittagsverkauf</t>
  </si>
  <si>
    <t>Besitz eines Wasserspenders</t>
  </si>
  <si>
    <t>Ein Wasserspender bietet eine nachhaltige Alternative zu abgefülltem Wasser in Plastikflaschen. Die Produktion und der Transport von Einwegflaschen verursachen erhebliche CO2-Emissionen. Mit einem Wasserspender können die Schüler ihre eigenen Trinkflaschen immer wieder auffüllen, wodurch die Nachfrage nach Einwegflaschen sinkt. Das spart Rohstoffe, Energie und reduziert Plastikmüll. Gleichzeitig wird der bewusste Umgang mit Ressourcen gefördert, was zu einem nachhaltigeren Verhalten beiträgt</t>
  </si>
  <si>
    <t>ER6</t>
  </si>
  <si>
    <t>Feuerstelle und Sitzgelegenheiten im Schulgarten</t>
  </si>
  <si>
    <t>Eine Feuerstelle im Schulgarten kann nachhaltig genutzt werden, z. B. für das Verbrennen von Gartenabfällen wie Ästen und Holzresten, die ansonsten aufwendig transportiert und entsorgt werden müssten. Der Verzicht auf fossile Brennstoffe oder chemische Mittel für die Entsorgung spart CO2-Emissionen.
Sitzgelegenheiten fördern die Nutzung des Schulgartens als Treffpunkt oder Lernort im Freien, wodurch Aktivitäten von innen nach draußen verlagert werden können. Dies spart Beleuchtungs- und Heizkosten in Innenräumen. Zudem sensibilisiert die Feuerstelle in Kombination mit Umweltprojekten die Schüler für nachhaltigen Ressourcenumgang, z. B. durch Diskussionen über verantwortungsvolles Heizen und Energieeinsparung.</t>
  </si>
  <si>
    <t>ER7</t>
  </si>
  <si>
    <t>Gesundes Frühstück</t>
  </si>
  <si>
    <t>Einmal pro Woche bietet die Schule ein gesundes Frühstück an, das alle Schülerinnen und Schüler kostenlos abholen können. Dieses Angebot ist besonders wichtig, weil viele Jugendliche an der Mittelschule gar nicht oder nur sehr ungesund frühstücken. Durch das gemeinsame Frühstück bekommen sie nicht nur einen besseren Start in den Tag, sondern lernen auch, wie abwechslungsreich und klimafreundlich gesundes Essen sein kann. Regionale und möglichst unverarbeitete Lebensmittel verursachen weniger CO₂, und gleichzeitig fördert das Angebot ein bewusstes Ernährungs- und Gesundheitsverhalten, das langfristig zu mehr Nachhaltigkeit beiträgt.</t>
  </si>
  <si>
    <t>Ulrike Exl, Stephan Deak</t>
  </si>
  <si>
    <t>ER8</t>
  </si>
  <si>
    <t>Gesunder Snack-Automat</t>
  </si>
  <si>
    <t>Die Schule plant die Einführung eines Snackautomaten, der ausschließlich gesunde Snacks anbietet. Die SMV setzt sich bereits seit mehreren Jahren dafür ein und möchte so eine echte Alternative zu ungesunden Zwischenmahlzeiten schaffen. Durch die Auswahl von nährstoffreichen, möglichst regionalen und weniger verarbeiteten Produkten wird nicht nur die Gesundheit der Schülerinnen und Schüler gefördert, sondern auch der CO₂-Ausstoß reduziert, da solche Snacks in der Regel eine bessere Umweltbilanz haben. Der Automat unterstützt damit sowohl eine bewusste Ernährung als auch nachhaltiges Konsumverhalten im Schulalltag.</t>
  </si>
  <si>
    <t>Denis Vespermann</t>
  </si>
  <si>
    <t>KB1</t>
  </si>
  <si>
    <t>KB2</t>
  </si>
  <si>
    <t>KB3</t>
  </si>
  <si>
    <t>KB4</t>
  </si>
  <si>
    <t>KB5</t>
  </si>
  <si>
    <t>KV1</t>
  </si>
  <si>
    <t>Exkursionen zum Thema Umwelt/Naturerfahrungen</t>
  </si>
  <si>
    <t>Solche Exkursionen sensibilisieren die Teilnehmer für den Wert und die Bedeutung der Natur. Wenn Schüler lernen, wie empfindlich Ökosysteme sind und welchen Einfluss menschliches Handeln auf die Umwelt hat, entwickeln sie oft ein stärkeres Bewusstsein für nachhaltiges Verhalten. Dies kann dazu führen, dass sie ihren Lebensstil anpassen, zum Beispiel weniger Ressourcen verschwenden, Müll vermeiden oder klimafreundliche Entscheidungen treffen.</t>
  </si>
  <si>
    <t>Klassenlehrkräfte</t>
  </si>
  <si>
    <t>KV2</t>
  </si>
  <si>
    <t>LBV - Spendenwoche + Bildungsmaßnahme</t>
  </si>
  <si>
    <t>Alle fünften Klassen nehmen an der LBV- Spendenwoche teil. Als Dank stellt der LBV den Schülern immer eine Bildungsveranstaltung zur Verfügung. Diese verfolgt das Ziel, die Schüler für unsere Umwelt zu sensibilisieren und mit unserer Umwelt vertraut zu werden. Damit die Kinder eine intrinsische Motivation erfahren, die Natur schützen zu wollen.</t>
  </si>
  <si>
    <t>Jahrgangsstufe</t>
  </si>
  <si>
    <t>KV3</t>
  </si>
  <si>
    <t>Klimatage an der Schule</t>
  </si>
  <si>
    <t>Im Landkreis Neu-Ulm sind Umwelttage für alle Mittelschulen verpflichtend. Jede Schule gibt an, wie sie an diesem Tag etwas für den Umweltschutz beiträgt.</t>
  </si>
  <si>
    <t>Elisabeth Holand Florian Pfeiffer</t>
  </si>
  <si>
    <t>KV4</t>
  </si>
  <si>
    <t>Ecosia als Suchmaschine</t>
  </si>
  <si>
    <t>Ecosia ist eine Suchmaschine, die mit ihren Einnahmen Bäume pflanzt. Bäume nehmen während ihres Wachstums CO2 aus der Atmosphäre auf und speichern es, wodurch sie aktiv zur Reduktion von Treibhausgasen beitragen. Zudem nutzt Ecosia für den Betrieb seiner Server ausschließlich erneuerbare Energien, was den CO2-Fußabdruck der Suchanfragen minimiert.</t>
  </si>
  <si>
    <t>KV5</t>
  </si>
  <si>
    <t>Walderlebnistage</t>
  </si>
  <si>
    <t>Walderlebnistage fördern bei Schülern ein tieferes Verständnis für die Bedeutung von Wäldern im Klimaschutz. Wälder sind natürliche CO2-Speicher, da sie während ihres Wachstums CO2 aus der Atmosphäre aufnehmen und langfristig binden. Wenn Schüler dies direkt erleben, entwickeln sie eine Wertschätzung für den Wald und lernen, wie wichtig es ist, ihn zu schützen. Dieses Bewusstsein kann sie dazu motivieren, umweltfreundlicher zu handeln.</t>
  </si>
  <si>
    <t>Judith Mester</t>
  </si>
  <si>
    <t>KV6</t>
  </si>
  <si>
    <t>Klimaschule als festes Thema in SMV-Sitzungen</t>
  </si>
  <si>
    <t>Wenn Klimaschutz regelmäßig in SMV-Sitzungen besprochen wird, wird das Thema fest im Schulleben verankert. Schüler haben die Möglichkeit, konkrete Projekte und Maßnahmen zu planen, wie Mülltrennung, Energiesparen oder klimafreundliche Schulfeste. Durch die aktive Beteiligung der Schüler entstehen innovative Ideen, die den CO2-Ausstoß der Schule nachhaltig reduzieren können. Zudem übernehmen die Schüler Verantwortung und tragen das Bewusstsein für Klimaschutz in ihren Alltag, was eine Multiplikatorwirkung auf die gesamte Schulgemeinschaft und ihre Familien hat.</t>
  </si>
  <si>
    <t>Denis Vespermann &amp; Anna Tröbelsberger</t>
  </si>
  <si>
    <t>KV7</t>
  </si>
  <si>
    <t xml:space="preserve">Teilnahme am Projekt "Naturhelden" </t>
  </si>
  <si>
    <t>Unsere Schule nimmt mit den Jahrgangsstufen 5 und 6 am Projekt „Naturhelden“ teil, einem Umwelt- und Klimaschutz-Programm im Rahmen der Initiative Gesunde Erde,  Gesunde Kinder.. Dabei lernen die Schülerinnen und Schüler spielerisch, wie Müll vermieden, recycelt und warum saubere Umwelt und Gesundheit zusammenhängen. Ziel des Projekts ist es, Kinder für Natur- und Umweltschutz zu sensibilisieren, ihnen Strategien gegen Umweltverschmutzung an die Hand zu geben und sie zu motivieren, aktiv an einer lebenswerten Zukunft mitzuwirken. Durch praxisnahe Aktionen, Unterrichtsmaterialien und Umwelt-Projekte werden diese Inhalte im Schulalltag verankert und tragen so zur CO₂-Reduktion und einer nachhaltigeren Lebensweise bei.</t>
  </si>
  <si>
    <t>KV8</t>
  </si>
  <si>
    <t>Klassensprecher als Klimabotschafter</t>
  </si>
  <si>
    <t xml:space="preserve">Klassensprecher übernehmen Verantwortung für Klima- und Umweltschutz. Als Klimaschutzbotschafter bringen sie Ideen aus ihren Klassen ein, sind Bindeglied zwischen Schülerschaft und Klimaschule und stärken die Schülerpartizipation. Durch ihre Präsenz im Schulalltag fördern sie nachhaltiges Verhalten und tragen zur Reduzierung von CO₂-Emissionen bei. </t>
  </si>
  <si>
    <t>Anna Tröbelsberger &amp; Florian Pfeiffer &amp; Denis Vespermann &amp; Janina Biliczky</t>
  </si>
  <si>
    <t>KV9</t>
  </si>
  <si>
    <t>Ideenkasten</t>
  </si>
  <si>
    <t>Der Ideenkasten wurde in der Aula errichtet und gut sichtbar aufgehängt, sodass er für alle Schülerinnen und Schüler jederzeit präsent ist. Er dient als zentrale Sammelstelle für Ideen und Vorschläge rund um Klima- und Umweltschutz. Durch den Ideenkasten werden Verantwortung und Partizipation der Schülerschaft gestärkt, denn jede Person kann aktiv Vorschläge einreichen. Gleichzeitig ermöglicht er einen direkten Austausch zwischen den Schülerinnen und Schülern und der Klimaschule, sodass Ideen aufgenommen, diskutiert und umgesetzt werden können.</t>
  </si>
  <si>
    <t>Anna Tröbelsberger &amp; Florian Pfeiffer</t>
  </si>
  <si>
    <t>KV10</t>
  </si>
  <si>
    <t>Klimaschutz-Challenges</t>
  </si>
  <si>
    <t>Wöchentlich erhalten die Klassen kleine Alltagsaufgaben zum Klima- und Umweltschutz. Die Ergebnisse werden in einem Ranking über das Schuljahr gesammelt und freitags prämiert. Am Ende des Jahres erhält die beste Klasse als Auszeichnung einen Ausflug. So wird Klimaschutz im Schulalltag präsent gemacht und als Teil der Klimaschule gelebt.</t>
  </si>
  <si>
    <t>KV11</t>
  </si>
  <si>
    <t>Klimaschule macht Blau</t>
  </si>
  <si>
    <t>„Klimaschule macht blau“ ist ein Projekt, das Aufmerksamkeit für Klimaschutz auch außerhalb der Schule erzeugen soll. Dazu werden blau bemalte Schuhe – in Anlehnung an das Projekt „Blue School“ – an den Ortseingängen der Stadt Illertissen aufgehängt. Die ungewöhnliche Aktion sorgt zunächst für Verwirrung und weckt Neugier in der Bevölkerung. Später wird die Aktion durch einen Zeitungsartikel aufgeklärt und mit dem Thema Klimaschutz in Verbindung gebracht. Zusätzlich ist ein Stand auf dem Ökomarkt möglich, um das Projekt weiter zu erklären und ins Gespräch zu kommen. Eine Abklärung mit der Stadt Illertissen wird dazu noch durchgeführt.</t>
  </si>
  <si>
    <t>Anna Tröbelsberger &amp; Florian Pfeiffer &amp; Stadt Illertissen</t>
  </si>
  <si>
    <t>KV12</t>
  </si>
  <si>
    <t>Monitor</t>
  </si>
  <si>
    <t>Ein Monitor in der Aula soll die bereits erfolgten Projekte der Klimaschule sichtbar machen. Ziel ist es, mit Bildern, Videos und kurzen Infos zum Klimaschutz zu informieren und das Thema im Schulalltag präsent zu halten. Außerdem werden ein Quiz und das Ranking der Klima-Challenges gezeigt. Für die Finanzierung gibt es einen Zuschuss von der Stadt Illertissen, Anfragen bei der Raiffeisenbank und Sparkasse sind noch ausstehend.</t>
  </si>
  <si>
    <t>KV13</t>
  </si>
  <si>
    <t>jährliches Treffen mit Stadtrat</t>
  </si>
  <si>
    <t>Die Schule plant ein jährliches Treffen mit dem Stadtrat Illertissen, um gemeinsam über neue Möglichkeiten für Klimaschutz zu sprechen. Die Chancen auf eine enge Zusammenarbeit stehen gut, da sowohl ehemalige als auch aktuelle Kolleginnen und Kollegen – sowie deren Verwandte – sich für den Stadtrat bewerben und dadurch ein direkter Austausch erleichtert wird. Durch das regelmäßige Treffen können lokale Projekte gezielt abgestimmt, Unterstützung organisiert und klimafreundliche Ideen schneller umgesetzt werden. So trägt die Schule aktiv dazu bei, kommunale Klimaschutzmaßnahmen voranzubringen.</t>
  </si>
  <si>
    <t>Vespermann/Pfeiffer</t>
  </si>
  <si>
    <t>KV14</t>
  </si>
  <si>
    <t>Sektor</t>
  </si>
  <si>
    <t>Einheit</t>
  </si>
  <si>
    <t>Einsparungsfaktor pro Einheit</t>
  </si>
  <si>
    <t>Quelle</t>
  </si>
  <si>
    <t>Abfall</t>
  </si>
  <si>
    <t>Restmüll reduzieren (Einheit m³)</t>
  </si>
  <si>
    <t>Einsparung pro m³</t>
  </si>
  <si>
    <t>Restmüll reduzieren (Einheit t)</t>
  </si>
  <si>
    <t>Einsparung pro Tonne</t>
  </si>
  <si>
    <t>Papiermüll reduzieren (Einheit t)</t>
  </si>
  <si>
    <t>Einkauf</t>
  </si>
  <si>
    <t>Einsparung pro Blatt</t>
  </si>
  <si>
    <t>Kopierpapier: Papierverbrauch reduzieren (Recycling)</t>
  </si>
  <si>
    <t>Toilettenpapier: Frischfaser- durch Recyclingpapier ersetzen (Normalrolle)</t>
  </si>
  <si>
    <t>Toilettenpapier: Frischfaser- durch Recyclingpapier ersetzen (Jumborolle)</t>
  </si>
  <si>
    <t>Toilettenpapier: Verbrauch reduzieren (Jumborolle, Frischfaser)</t>
  </si>
  <si>
    <t>Toilettenpapier: Verbrauch reduzieren (Jumborolle, Recycling)</t>
  </si>
  <si>
    <t>Toilettenpapier: Verbrauch reduzieren (Normalrolle, Frischfaser)</t>
  </si>
  <si>
    <t>Toilettenpapier: Verbrauch reduzieren (Normalrolle, Recycling)</t>
  </si>
  <si>
    <t>Papierhandtücher: Frischfaser durch Recyclingpapier ersetzen</t>
  </si>
  <si>
    <t>Papierhandtücher: Verbrauch reduzieren (Frischfaser)</t>
  </si>
  <si>
    <t>Papierhandtücher: Verbrauch reduzieren (Recycling)</t>
  </si>
  <si>
    <t>Ernährung</t>
  </si>
  <si>
    <t>Mensa: Fleischgerichte durch vegetarische Gerichte ersetzen</t>
  </si>
  <si>
    <t>Mensa: Fleischgerichte durch vegane Gerichte ersetzen</t>
  </si>
  <si>
    <t>Mensa: Vegetarische Gerichte durch vegane Gerichte ersetzen</t>
  </si>
  <si>
    <t>Ernährung- Pausenverkauf</t>
  </si>
  <si>
    <t>Pausenverkauf: Wurstbrötchen durch vegetarisch belegte Brötchen ersetzen</t>
  </si>
  <si>
    <t>Pausenverkauf: Wurstbrötchen durch vegan belegte Brötchen ersetzen</t>
  </si>
  <si>
    <t>Pausenverkauf: Vegetarisch belegte Brötchen durch vegan belegte Brötchen ersetzen</t>
  </si>
  <si>
    <t>Pausenverkauf: Wurstverkauf (Wiener, Bockwurst) reduzieren</t>
  </si>
  <si>
    <t>Ernährung Getränke</t>
  </si>
  <si>
    <t>Kaffeekonsum reduzieren (in kg)</t>
  </si>
  <si>
    <t>Kaffeekonsum reduzieren (in Liter)</t>
  </si>
  <si>
    <t>Milchverbrauch reduzieren</t>
  </si>
  <si>
    <t>Milch durch veganes Milchgetränk ersetzen</t>
  </si>
  <si>
    <t>Mobilität</t>
  </si>
  <si>
    <t>Auto: Fahrgemeinschaften bilden (Wechsel von Alleinfahrt (Verbrenner) zur Fahrgemeinschaft (Verbrenner))</t>
  </si>
  <si>
    <t>Auto: Alleinfahrten mit dem Auto reduzieren</t>
  </si>
  <si>
    <t>Auto (Verbrenner) durch e-Auto ersetzen</t>
  </si>
  <si>
    <t>eAuto: Fahrgemeinschaften bilden (Wechsel von Alleinfahrt (eAuto) zur Fahrgemeinschaft (eAuto))</t>
  </si>
  <si>
    <t>eAuto: Alleinfahrten mit dem e-Auto reduzieren</t>
  </si>
  <si>
    <t>Flugzeug: Flugreisen reduzieren</t>
  </si>
  <si>
    <t>Reisebus: Fahrten mit den Reisebus vermeiden</t>
  </si>
  <si>
    <t>Schülerfahrten: Flugreise durch Busreise ersetzen (bei gleicher Streckenlänge)</t>
  </si>
  <si>
    <t>Schülerfahrten: Flugreise durch Bahnreise ersetzen (bei gleicher Streckenlänge)</t>
  </si>
  <si>
    <t>Strom</t>
  </si>
  <si>
    <t>Wechsel des Stromtarifs: Dt. Strommix zu Ökostrom ohne Neuanlagenförderung</t>
  </si>
  <si>
    <t>Wechsel des Stromtarifs: Dt. Strommix zu Ökostrom mit Neuanlagenförderung</t>
  </si>
  <si>
    <t>Wechsel des Stromtarifs: Ökostrom ohne Neuanlagenförderung zu Ökostrom mit Neuanlagenförderung</t>
  </si>
  <si>
    <t>Strom sparen (Tarifart: Dt. Strommix oder Ökostrom ohne Neuanlagenförderung)</t>
  </si>
  <si>
    <t>Strom sparen (Ökostrom mit Neuanlagenförderung)</t>
  </si>
  <si>
    <t>PV-Anlage: Selbst produzierten Strom verwenden (Eigenstromverbrauch erhöhen; Stromtarif der Schule ist dt. Strommix oder Ökostrom ohne Neuanlagenförderung)</t>
  </si>
  <si>
    <t>PV-Anlage: Selbst produzierten Strom verwenden (Eigenstromverbrauch erhöhen; Stromtarif der Schule ist Ökostrom mit Neuanlagenförderung)</t>
  </si>
  <si>
    <t>Wärme</t>
  </si>
  <si>
    <t>Raumtemperatur im ganzen Gebäude senken</t>
  </si>
  <si>
    <t>Richtig lüften im ganzen Gebäude</t>
  </si>
  <si>
    <t>Solarthermie zur Heizungsunterstützung</t>
  </si>
  <si>
    <t>Wärmebedarf reduzieren (z. B. durch verbesserte Gebäudedämmung)</t>
  </si>
  <si>
    <t>Einsparung in kg CO2e pro kWh Nutzenergie</t>
  </si>
  <si>
    <t>Heizungstausch: Biogas zu Biomasse (Hackschnitzel)</t>
  </si>
  <si>
    <t>Wirkungsgrad für Biogas wird als 100 % angenommen</t>
  </si>
  <si>
    <t>Heizungstausch: Biogas zu Biomasse (Pellets)</t>
  </si>
  <si>
    <t>Heizungstausch: Biogas zu Fernwärme (Hackschnitzel)</t>
  </si>
  <si>
    <t>Heizungstausch: Biogas zu Fernwärme (industrielle Prozessabwärme)</t>
  </si>
  <si>
    <t>Heizungstausch: Erdgas zu Biogas</t>
  </si>
  <si>
    <t>Heizungstausch: Erdgas zu Biomasse (Hackschnitzel)</t>
  </si>
  <si>
    <t>Heizungstausch: Erdgas zu Biomasse (Pellets)</t>
  </si>
  <si>
    <t>Heizungstausch: Erdgas zu Fernwärme (Biogas)</t>
  </si>
  <si>
    <t>Heizungstausch: Erdgas zu Fernwärme (Müll HKW)</t>
  </si>
  <si>
    <t>Heizungstausch: Erdgas zu Fernwärme (Hackschnitzel)</t>
  </si>
  <si>
    <t>Heizungstausch: Erdgas zu Fernwärme (industrielle Prozessabwärme)</t>
  </si>
  <si>
    <t>Heizungstausch: Erdgas zu Wärmepumpe (Luft/Wasser)</t>
  </si>
  <si>
    <t>Bei dt. Strommix</t>
  </si>
  <si>
    <t>Heizungstausch: Erdgas zu Wärmepumpe (Sole/Wasser)</t>
  </si>
  <si>
    <t>Heizungstausch: Fernwärme (Kohle) zu Biogas</t>
  </si>
  <si>
    <t>Heizungstausch: Fernwärme (Kohle) zu Biomasse (Hackschnitzel)</t>
  </si>
  <si>
    <t>Heizungstausch: Fernwärme (Kohle) zu Biomasse (Pellets)</t>
  </si>
  <si>
    <t>Heizungstausch: Fernwärme (Kohle) zu Fernwärme (Biogas)</t>
  </si>
  <si>
    <t>Heizungstausch: Fernwärme (Kohle) zu Fernwärme (Müll HKW)</t>
  </si>
  <si>
    <t>Heizungstausch: Fernwärme (Kohle) zu Fernwärme (Hackschnitzel)</t>
  </si>
  <si>
    <t>Heizungstausch: Fernwärme (Kohle) zu Fernwärme (Industrielle Prozessabwärme)</t>
  </si>
  <si>
    <t>Heizungstausch: Fernwärme (Kohle) zu Wärmepumpe (Luft/Wasser)</t>
  </si>
  <si>
    <t>Heizungstausch: Fernwärme (Kohle) zu Wärmepumpe (Sole/Wasser)</t>
  </si>
  <si>
    <t>Heizungstausch: Fernwärme (Erdgas) zu Biogas</t>
  </si>
  <si>
    <t>Heizungstausch: Fernwärme (Erdgas) zu Biomasse (Hackschnitzel)</t>
  </si>
  <si>
    <t>Heizungstausch: Fernwärme (Erdgas) zu Biomasse (Pellets)</t>
  </si>
  <si>
    <t>Heizungstausch: Fernwärme (Erdgas) zu Fernwärme (Biogas)</t>
  </si>
  <si>
    <t>Heizungstausch: Fernwärme (Erdgas) zu Fernwärme (Müll HKW)</t>
  </si>
  <si>
    <t>Heizungstausch: Fernwärme (Erdgas) zu Fernwärme (Hackschnitzel)</t>
  </si>
  <si>
    <t>Heizungstausch: Fernwärme (Erdgas) zu Fernwärme (Industrielle Prozessabwärme)</t>
  </si>
  <si>
    <t>Heizungstausch: Fernwärme (Erdgas) zu Wärmepumpe (Luft/Wasser)</t>
  </si>
  <si>
    <t>Heizungstausch: Fernwärme (Erdgas) zu Wärmepumpe (Sole/Wasser)</t>
  </si>
  <si>
    <t>Heizungstausch: Fernwärme (Biogas) zu Biogas</t>
  </si>
  <si>
    <t>Heizungstausch: Fernwärme (Biogas) zu Biomasse (Hackschnitzel)</t>
  </si>
  <si>
    <t>Heizungstausch: Fernwärme (Biogas) zu Biomasse (Pellets)</t>
  </si>
  <si>
    <t>Heizungstausch: Fernwärme (Biogas) zu Fernwärme (Hackschnitzel)</t>
  </si>
  <si>
    <t>Heizungstausch: Fernwärme (Biogas) zu Fernwärme (Industrielle Prozessabwärme)</t>
  </si>
  <si>
    <t>Heizungstausch: Fernwärme (Biogas) zu Wärmepumpe (Luft/Wasser)</t>
  </si>
  <si>
    <t>Heizungstausch: Fernwärme (Biogas) zu Wärmepumpe (Sole/Wasser)</t>
  </si>
  <si>
    <t>Heizungstausch: Fernwärme (Müll HKW) zu Biogas</t>
  </si>
  <si>
    <t>Heizungstausch: Fernwärme (Müll HKW) zu Biomasse (Hackschnitzel)</t>
  </si>
  <si>
    <t>Heizungstausch: Fernwärme (Müll HKW) zu Biomasse (Pellets)</t>
  </si>
  <si>
    <t>Heizungstausch: Fernwärme (Müll HKW) zu Fernwärme (Biogas)</t>
  </si>
  <si>
    <t>Heizungstausch: Fernwärme (Müll HKW) zu Fernwärme (Hackschnitzel)</t>
  </si>
  <si>
    <t>Heizungstausch: Fernwärme (Müll HKW) zu Fernwärme (Industrielle Prozessabwärme)</t>
  </si>
  <si>
    <t>Heizungstausch: Fernwärme (Müll HKW) zu Wärmepumpe (Luft/Wasser)</t>
  </si>
  <si>
    <t>Heizungstausch: Fernwärme (Müll HKW) zu Wärmepumpe (Sole/Wasser)</t>
  </si>
  <si>
    <t>Heizungstausch: Flüssiggas zu Biogas</t>
  </si>
  <si>
    <t>auch bei Flüssiggas würde ich den Wirkungsgrad berücksichtigen (92%)</t>
  </si>
  <si>
    <t>Heizungstausch: Flüssiggas zu Biomasse (Hackschnitzel)</t>
  </si>
  <si>
    <t>Heizungstausch: Flüssiggas zu Biomasse (Pellets)</t>
  </si>
  <si>
    <t>Heizungstausch: Flüssiggas zu Fernwärme (Biogas)</t>
  </si>
  <si>
    <t>analog</t>
  </si>
  <si>
    <t>Heizungstausch: Flüssiggas zu Fernwärme (Müll HKW)</t>
  </si>
  <si>
    <t>Heizungstausch: Flüssiggas zu Fernwärme (Hackschnitzel)</t>
  </si>
  <si>
    <t>Heizungstausch: Flüssiggas zu Fernwärme (Industrielle Prozessabwärme)</t>
  </si>
  <si>
    <t>Heizungstausch: Flüssiggas zu Wärmepumpe (Luft/Wasser)</t>
  </si>
  <si>
    <t>Heizungstausch: Flüssiggas zu Wärmepumpe (Sole/Wasser)</t>
  </si>
  <si>
    <t>Heizungstausch: Heizöl zu Biogas</t>
  </si>
  <si>
    <t>Heizungstausch: Heizöl zu Biomasse (Hackschnitzel)</t>
  </si>
  <si>
    <t>Heizungstausch: Heizöl zu Biomasse (Pellets)</t>
  </si>
  <si>
    <t>Heizungstausch: Heizöl zu Fernwärme (Biogas)</t>
  </si>
  <si>
    <t>Heizungstausch: Heizöl zu Fernwärme (Müll HKW)</t>
  </si>
  <si>
    <t>Heizungstausch: Heizöl zu Fernwärme (Hackschnitzel)</t>
  </si>
  <si>
    <t>Heizungstausch: Heizöl zu Fernwärme (Industrielle Prozessabwärme)</t>
  </si>
  <si>
    <t>Heizungstausch: Heizöl zu Wärmepumpe (Luft/Wasser)</t>
  </si>
  <si>
    <t>Heizungstausch: Heizöl zu Wärmepumpe (Sole/Wasser)</t>
  </si>
  <si>
    <t>Heizungsarten</t>
  </si>
  <si>
    <t>Biogas</t>
  </si>
  <si>
    <t>Biomasse: Hackschnitzel</t>
  </si>
  <si>
    <t>Biomasse: Pellets</t>
  </si>
  <si>
    <t>Erdgas</t>
  </si>
  <si>
    <t>Fernwärme (Kohle)</t>
  </si>
  <si>
    <t>Fernwärme (Erdgas)</t>
  </si>
  <si>
    <t>Fernwärme (Biogas)</t>
  </si>
  <si>
    <t>Fernwärme (Müll HKW)</t>
  </si>
  <si>
    <t>Fernwärme (Hackschnitzel)</t>
  </si>
  <si>
    <t>Fernwärme (Industrielle Prozessabwärme)</t>
  </si>
  <si>
    <t>Flüssiggas</t>
  </si>
  <si>
    <t>Heizöl</t>
  </si>
  <si>
    <t>Wärmepumpe (Luft/Wasser)</t>
  </si>
  <si>
    <t>UBA 2023, https://www.umweltbundesamt.de/sites/default/files/medien/11850/publikationen/20231219_49_2023_cc_emissionsbilanz_erneuerbarer_energien_2022_bf.pdf</t>
  </si>
  <si>
    <t>Wärmepumpe (Sole/Wasser)</t>
  </si>
  <si>
    <t>bei den beiden Emissionsfaktoren der Wärmepumpe wurde die Vorkette laut UBA berückrückstigt:
 Für Luft/Wasser werden für die Vorkette 13,777 g/kWh (Nutzenergie) angesetzt und für Sole/Wasser 31,353 g/kWh (Nutzenergie</t>
  </si>
  <si>
    <t>Umrechnung in Nutzenergie (kWh)</t>
  </si>
  <si>
    <t>Hackschnitzel (Verbrauch in Srm)</t>
  </si>
  <si>
    <t>Hackschnitzel (Verbrauch in Tonnen)</t>
  </si>
  <si>
    <t>Pellets (Verbrauch in Tonnen)</t>
  </si>
  <si>
    <t>Pellets (Verbrauch in m³)</t>
  </si>
  <si>
    <t>Erdgas (Verbrauch in m³)</t>
  </si>
  <si>
    <t>Flüssiggas (Verbrauch in m³)</t>
  </si>
  <si>
    <t>Annahme: Jahresarbeitszahl ist 3</t>
  </si>
  <si>
    <t>Heizöl (Verbrauch in Liter)</t>
  </si>
  <si>
    <t>Elektrischer Energiebedarf im letzten Jahr in kWh (Netzbezug)</t>
  </si>
  <si>
    <t>ST1</t>
  </si>
  <si>
    <t>Vermietung der Dachfläche für eine PV-Anlage</t>
  </si>
  <si>
    <t xml:space="preserve">Die Installation einer Photovoltaikanlage auf einem Schulsdach ermöglicht die Nutzung von Solarenergie, einer erneuerbaren Energiequelle, die keine CO2-Emissionen verursacht. Durch die Vermietung der Dachfläche für eine PV-Anlage wird die Produktion von sauberer Energie gefördert, die statt fossiler Brennstoffe genutzt werden kann. </t>
  </si>
  <si>
    <t>Stadt Illertissen Schulleitung</t>
  </si>
  <si>
    <t>ST2</t>
  </si>
  <si>
    <t>Licht in Klassenzimmern und Gängen wird über Bewegungsmelder gesteuert.</t>
  </si>
  <si>
    <t>Bewegungsmelder sorgen dafür, dass das Licht in Klassenzimmern und Gängen nur dann eingeschaltet wird, wenn es tatsächlich benötigt wird. Dadurch wird verhindert, dass das Licht unnötig lange an bleibt und Energie verschwendet wird. Weniger Stromverbrauch bedeutet weniger Energieaufwand und somit eine Reduktion der CO2-Emissionen, da viele Stromquellen noch immer auf fossilen Brennstoffen basieren.</t>
  </si>
  <si>
    <t>Stephan Deak Hausmeister</t>
  </si>
  <si>
    <t>ST3</t>
  </si>
  <si>
    <t>Dimmbares Licht in Räumen</t>
  </si>
  <si>
    <t>Dimmbares Licht ermöglicht es, die Helligkeit je nach Bedarf zu regulieren. Wenn das Licht in weniger genutzten oder kleineren Räumen nur auf niedrigerer Stufe leuchtet, wird weniger Energie verbraucht. Dies reduziert den Stromverbrauch und somit auch die CO2-Emissionen, insbesondere wenn der Strom aus fossilen Quellen stammt.</t>
  </si>
  <si>
    <t>ST4</t>
  </si>
  <si>
    <t>Automatisiertes Abschalten von Schul-PCs ab 16.00 Uhr</t>
  </si>
  <si>
    <t>Schul-PCs, die nach Unterrichtsende eingeschaltet bleiben, verbrauchen unnötig Energie, auch wenn sie nicht genutzt werden. Ein automatisiertes Abschalten stellt sicher, dass kein Strom verschwendet wird. Weniger Energieverbrauch bedeutet weniger CO2-Emissionen.</t>
  </si>
  <si>
    <t>ST5</t>
  </si>
  <si>
    <t>Sensibilisierung der Schüler für den Stromverbrauch</t>
  </si>
  <si>
    <t>Die Schüler der 9. Klasse recherchieren in Gruppen den Stromverbrauch verschiedener Haushaltsgeräte. Sie berechnen den damit verbundenen CO₂-Ausstoß und entwickeln praktische Stromspartipps. Ihre Ergebnisse präsentieren sie der Schulfamilie auf eine selbstgewählte Weise, z. B. durch Plakate, Videos oder Vorträge.
Warum dieses Projekt CO₂ einspart:
Durch die Recherche lernen die Schüler den Zusammenhang zwischen Stromverbrauch und CO₂-Emissionen kennen. Die Berechnung macht sichtbar, wie viel CO₂ durch den Einsatz bestimmter Geräte entsteht. Die erarbeiteten Stromspartipps helfen Mitschülern, Lehrern und Eltern, ihren Energieverbrauch zu reduzieren – etwa durch den Einsatz energieeffizienter Geräte, das Abschalten von Standby-Funktionen oder die Nutzung von LED-Lampen. Jede eingesparte Kilowattstunde Strom bedeutet weniger CO₂-Emissionen, besonders wenn der Strom aus fossilen Energieträgern stammt. Zusätzlich fördert das Projekt nachhaltiges Denken und Handeln in der gesamten Schulgemeinschaft.</t>
  </si>
  <si>
    <t>ST6</t>
  </si>
  <si>
    <t>Geplante PV-Anlage auf den Dächer der Fahrradgaragen</t>
  </si>
  <si>
    <t>Eine PV-Anlage auf den Fahrradgaragen erzeugt saubere Solarenergie direkt vor Ort. Diese Energie kann für den Schulbetrieb genutzt werden, z. B. für Beleuchtung oder Ladestationen, und reduziert damit den Bedarf an Strom aus fossilen Energieträgern, die CO2-Emissionen verursachen. Da die Fahrradgaragen ohnehin überdacht sind, wird die Dachfläche optimal für nachhaltige Energieproduktion genutzt.</t>
  </si>
  <si>
    <t>ST7</t>
  </si>
  <si>
    <t>Bau einer PV-Anlage für unsere Dachterrasse</t>
  </si>
  <si>
    <t>In Zusammenarbeit mit der Firma RuD Energy errichten unsere Schülerinnen und Schüler eine Balkon-Photovoltaikanlage mit zwei Modulen auf der Dachterrasse der Schule. Die Anlage erzeugt erneuerbaren Strom direkt vor Ort und reduziert dadurch den Bezug von Strom aus fossilen Energieträgern. So werden jährlich CO₂-Emissionen eingespart. Gleichzeitig erhalten die Schülerinnen und Schüler praxisnahe Einblicke in erneuerbare Energien und Klimaschutzmaßnahmen.</t>
  </si>
  <si>
    <t>Anna Tröbelsberger Florian Pfeiffer Firma RuD Energy</t>
  </si>
  <si>
    <t>ST8</t>
  </si>
  <si>
    <t>Videowettbewerb auf Instagram zum Thema Stromsparen</t>
  </si>
  <si>
    <t>Schülerinnen und Schüler nehmen an einem Videowettbewerb teil, bei dem sie kurze Clips zum Thema Stromsparen produzieren und auf Instagram veröffentlichen. Die Jugendlichen setzen sich dabei kreativ damit auseinander, wie man im Alltag Energie sparen kann, und geben ihre Ideen öffentlich weiter. Dadurch entsteht nicht nur ein Lerneffekt bei den Teilnehmenden, sondern auch eine breite Wirkung nach außen. Stromsparen reduziert direkt den CO₂-Ausstoß, weil weniger Energie produziert werden muss. Durch den Wettbewerb werden die Schüler motiviert, sich aktiv mit Klimaschutz zu beschäftigen und ihr Wissen mit anderen zu teilen.</t>
  </si>
  <si>
    <t>Jana Gleich</t>
  </si>
  <si>
    <t>Einsparungsrechner</t>
  </si>
  <si>
    <t>Raumtemperatur um 1°C reduzieren spart 6 % Heizkosten (Endenergie)</t>
  </si>
  <si>
    <t>https://www.test.de/Serie-Energie-sparen-Teil-4-Heizkosten-Reduzieren-ohne-frieren-1734645-0/</t>
  </si>
  <si>
    <t>https://www.co2online.de/energie-sparen/heizenergie-sparen/heizkosten-sparen/heizkosten-sparen-uebersicht/</t>
  </si>
  <si>
    <t>https://mediapool.hm.edu/mediapool/media/dachmarke/dm_lokal/nachhaltigkeit/dokumente_142/221003_Merkblatt_Energiesparung_Kurzfassung_END.pdf</t>
  </si>
  <si>
    <t>70 % des Energieverbrauchs in Privathaushalten wird für Raumheizung, 15 % für die Warmwasseraufbereitung, 15 % für Strom benötigt</t>
  </si>
  <si>
    <t>https://www.umweltbundesamt.de/umwelttipps-fuer-den-alltag/heizen-bauen/heizen-raumtemperatur#gewusst-wie</t>
  </si>
  <si>
    <t>Was bringt Lüften: bis zu 30 % Einsparung der Heizenergie</t>
  </si>
  <si>
    <t>https://www.rwth-aachen.de/cms/root/die-rwth/nachhaltigkeit/nachhaltigkeit-im-betrieb/energie/~wxqew/energiespartipps/</t>
  </si>
  <si>
    <t>Maßnahmen zur Senkung des Wärmebedarfs</t>
  </si>
  <si>
    <t>Wärmebedarf im letzten Jahr
 in kWh (Nutzenergie, z. B. laut Wärmemengenzähler)</t>
  </si>
  <si>
    <t>Aktuelle Heizung an 
Ihrer Schule</t>
  </si>
  <si>
    <t>WÄ1</t>
  </si>
  <si>
    <t>Lüftungsanlagen in den Klassenzimmern</t>
  </si>
  <si>
    <t>Moderne Lüftungsanlagen sorgen für frische Luft, ohne dass Fenster dauerhaft geöffnet werden müssen. Dadurch geht im Winter weniger Heizwärme verloren, was den Energieverbrauch und somit auch die CO2-Emissionen der Heizung reduziert.</t>
  </si>
  <si>
    <t>Hausmeister</t>
  </si>
  <si>
    <t>WÄ2</t>
  </si>
  <si>
    <t>Nicht-Beheizung von Gängen</t>
  </si>
  <si>
    <t>Gänge werden meist nur kurz durchquert und benötigen keine konstante Beheizung. Durch das Abschalten der Heizungen in diesen Bereichen wird der Energieverbrauch erheblich reduziert. Weniger Energieverbrauch bedeutet auch weniger CO2-Emissionen, besonders wenn die Heizenergie aus fossilen Brennstoffen stammt.</t>
  </si>
  <si>
    <t>WÄ3</t>
  </si>
  <si>
    <t>CO2-Ampeln in den ausgelagerten Klassenzimmern im Nebengebäude</t>
  </si>
  <si>
    <t>CO2-Ampeln messen die Luftqualität und zeigen an, wann gelüftet werden sollte. In den ausgelagerten Klassenzimmern helfen sie dabei, gezielt zu lüften, anstatt Fenster zu lange offen zu lassen. Das verhindert, dass zu viel Heizwärme verloren geht und unnötig Energie verbraucht wird.</t>
  </si>
  <si>
    <t>WÄ4</t>
  </si>
  <si>
    <t>Schüler als Energiebeauftragte für das Stoßlüften</t>
  </si>
  <si>
    <t>Schüler, die gezielt für das Stoßlüften verantwortlich sind, sorgen dafür, dass Frischluft effizient in die Klassenzimmer gelangt, ohne dabei unnötig viel Heizenergie zu verlieren.</t>
  </si>
  <si>
    <t>Schulfamilie</t>
  </si>
  <si>
    <t>WÄ5</t>
  </si>
  <si>
    <t>Pulli-Tag</t>
  </si>
  <si>
    <t>Am sogenannten „Pullitag“ wird einen Tag vor den Weihnachtsferien die Heizung in der Schule abgeschaltet. Stattdessen werden alle motiviert, sich warm anzuziehen, zum Beispiel mit Pullis und Jacken. Dadurch wird Heizenergie eingespart, was den CO₂-Ausstoß reduziert. Gleichzeitig sensibilisiert die Aktion Schülerinnen und Schüler sowie Lehrkräfte für einen bewussten Umgang mit Energie und zeigt, wie schon kleine Veränderungen im Alltag einen Beitrag zum Klimaschutz leisten können.</t>
  </si>
  <si>
    <t>WÄ6</t>
  </si>
  <si>
    <t xml:space="preserve">Workshop eines Energieberaters zur korrekten Heizungseinstellung </t>
  </si>
  <si>
    <t>Ein Energieberater vermittelt Wissen darüber, wie Heizungen effizient eingestellt werden können, z. B. durch die richtige Temperaturwahl, das Vermeiden von Dauerlüften oder die Nutzung von Thermostatventilen. Dies hilft, Energieverluste zu minimieren und den Heizenergieverbrauch zu senken. Weniger Energieverbrauch bedeutet weniger CO2-Emissionen, besonders bei Heizsystemen, die fossile Brennstoffe nutzen.</t>
  </si>
  <si>
    <t>Umrechnungsrechner in kWh</t>
  </si>
  <si>
    <r>
      <t>Wenn Sie den Wärmebedarf Ihrer Schule nicht der Einheit "kWh" kennen, können Sie mit folgender Tabelle den Verbrauch in die Einheit kWh (Nutzenergie) umrechnen lassen und oben im CO</t>
    </r>
    <r>
      <rPr>
        <vertAlign val="subscript"/>
        <sz val="11"/>
        <color theme="1"/>
        <rFont val="Calibri"/>
        <family val="2"/>
        <scheme val="minor"/>
      </rPr>
      <t>2</t>
    </r>
    <r>
      <rPr>
        <sz val="11"/>
        <color theme="1"/>
        <rFont val="Calibri"/>
        <family val="2"/>
        <scheme val="minor"/>
      </rPr>
      <t xml:space="preserve">-Einsparungsrechner verwenden. </t>
    </r>
  </si>
  <si>
    <t>Energieträger</t>
  </si>
  <si>
    <t>Spalte1</t>
  </si>
  <si>
    <t>Energieträgerverbrauch (Endenergie)</t>
  </si>
  <si>
    <t xml:space="preserve">Nutzenergie in kWh </t>
  </si>
  <si>
    <t>Hackschnitzel (Verbrauch in Schüttraummeter (Srm))</t>
  </si>
  <si>
    <t>Wärmepumpe (Luft/Wasser, Stromverbauch in kWh)</t>
  </si>
  <si>
    <t>Wärmepumpe (Sole/Wasser, Stromverbrauch in kWh)</t>
  </si>
  <si>
    <r>
      <t>Anzahl der Personenkilometer im letzten Jahr (Vgl. z. B. CO</t>
    </r>
    <r>
      <rPr>
        <vertAlign val="subscript"/>
        <sz val="9"/>
        <color theme="0"/>
        <rFont val="Calibri"/>
        <family val="2"/>
        <scheme val="minor"/>
      </rPr>
      <t>2</t>
    </r>
    <r>
      <rPr>
        <sz val="9"/>
        <color theme="0"/>
        <rFont val="Calibri"/>
        <family val="2"/>
        <scheme val="minor"/>
      </rPr>
      <t>-Rechner für Schulen)</t>
    </r>
  </si>
  <si>
    <t>MO1</t>
  </si>
  <si>
    <t>Tag des Fahrrads</t>
  </si>
  <si>
    <t>Die Firma Böttcher kommt an die Schule und repariert Fahrränder gratis. Zusätzlich führen sie einen Sicherheitscheck durch. Wenn Fahrräder repariert und sicherer gemacht werden, motiviert das mehr Schüler, mit dem Fahrrad zur Schule zu kommen, anstatt das Auto oder den Bus zu nutzen. Radfahren ist eine umweltfreundliche Alternative, da es keine CO2-Emissionen verursacht. Durch die Aktion wird zudem die Lebensdauer der Fahrräder verlängert, was Ressourcen spart und den Bedarf an neuen Materialien reduziert</t>
  </si>
  <si>
    <t>Schulleitung &amp; Landratsamt</t>
  </si>
  <si>
    <t>MO2</t>
  </si>
  <si>
    <t>Ausbau überdachter Fahrradständer</t>
  </si>
  <si>
    <t xml:space="preserve">Überdachte Fahrradständer schützen Fahrräder vor Regen und Witterung, wodurch sie länger genutzt werden können und weniger Reparaturen oder Ersatzteile nötig sind. Gleichzeitig motivieren sie Schüler und Lehrer, häufiger mit dem Fahrrad zur Schule zu kommen, da das Abstellen komfortabler und sicherer ist. Wenn mehr Menschen das Fahrrad statt des Autos nutzen, sinken die CO2-Emissionen, die durch motorisierten Verkehr entstehen. </t>
  </si>
  <si>
    <t>MO3</t>
  </si>
  <si>
    <t>Stempelkarte für Radfahrer</t>
  </si>
  <si>
    <t>Eine Stempelkarte motiviert Schüler, regelmäßig mit dem Fahrrad zur Schule zu kommen, indem sie für ihr Engagement belohnt werden. Sie erhalten je nach Anzahl der Stempel Urkunden, kleine Fahrradpumpen, Süßigkeiten oder kleine Gutscheine für Privilegien im Unterricht.</t>
  </si>
  <si>
    <t>Sportbeauftragter Valentin Sauter</t>
  </si>
  <si>
    <t>MO5</t>
  </si>
  <si>
    <t>MO4</t>
  </si>
  <si>
    <t>Teilnahme am Stadtradeln</t>
  </si>
  <si>
    <t>Die Schule macht Werbung für das Stadtradeln und hilft den Schülern bei der Anmeldung. Beim Stadtradeln werden Schüler, Lehrer und Eltern motiviert, möglichst viele Wege mit dem Fahrrad statt mit dem Auto zurückzulegen. Jede vermiedene Autofahrt spart direkt CO2, da das Fahrrad ein emissionsfreies Verkehrsmittel ist. Zudem sensibilisiert die Aktion für klimafreundliche Mobilität und zeigt, wie einfach es ist, das Fahrrad in den Alltag zu integrieren. Der Wettbewerbsgedanke und die gemeinsame Zielsetzung stärken die Motivation, was langfristig zu einem veränderten Mobilitätsverhalten führen kann.</t>
  </si>
  <si>
    <t>MO6</t>
  </si>
  <si>
    <t>M05</t>
  </si>
  <si>
    <t>Wandertage ausschließlich klimafreundlich. (nur ÖPNV oder zu Fuß)</t>
  </si>
  <si>
    <t>Indem bei Wandertagen ausschließlich der öffentliche Nahverkehr (ÖPNV) oder der Fußweg genutzt wird, wird auf den Einsatz von Bussen oder anderen CO2-emittierenden Verkehrsmitteln verzichtet. Der ÖPNV hat pro Person deutlich geringere Emissionen und das Gehen zu Fuß verursacht überhaupt keine CO2-Emissionen. Diese Entscheidung fördert nicht nur den Klimaschutz, sondern auch das Bewusstsein der Schüler für umweltfreundliche Fortbewegung.</t>
  </si>
  <si>
    <t>Schulleitung &amp; Klassenlehrkräfte</t>
  </si>
  <si>
    <t>M06</t>
  </si>
  <si>
    <t>Stundenplanerstellung mit Wegberücksichtigung</t>
  </si>
  <si>
    <t>Pendler erhalten einen freien Tag pro Woche. Zusätzlich wird berücksichtigt, dass Lehrer aus selben Ortschaften Fahrgemeinschaften schließen können. Das spart CO², da so weniger CO² ausgestoßen wird.</t>
  </si>
  <si>
    <t>MO7</t>
  </si>
  <si>
    <t>M07</t>
  </si>
  <si>
    <t>Lehrer-Radtour</t>
  </si>
  <si>
    <t>Das Kollegium unternimmt eine gemeinsame Lehrerradtour, bei der Lehrkräfte bewusst das Fahrrad als umweltfreundliches Verkehrsmittel nutzen. Die Aktion stärkt nicht nur den Zusammenhalt im Team, sondern setzt auch ein sichtbares Zeichen für nachhaltige Mobilität. Durch die bewusste Entscheidung fürs Rad statt fürs Auto wird CO₂ eingespart und gleichzeitig gezeigt, dass klimafreundliches Verhalten im Alltag möglich und attraktiv ist. Diese Vorbildfunktion wirkt sich positiv auf die Schulgemeinschaft aus und motiviert auch Schülerinnen und Schüler, öfter das Fahrrad zu nutzen.</t>
  </si>
  <si>
    <t>Verkehrsbeauftragte</t>
  </si>
  <si>
    <t>MO8</t>
  </si>
  <si>
    <t>Fahrrad-Sicherheitstraining</t>
  </si>
  <si>
    <t>Die neuen Fünftklässler nehmen an einem Fahrradsicherheitstraining teil, bei dem sie wichtige Verkehrsregeln lernen und üben, wie man sicher und umsichtig mit dem Fahrrad unterwegs ist. Dadurch werden Unfälle vermieden und gleichzeitig gefördert, dass mehr Schülerinnen und Schüler das Fahrrad statt das Auto für ihren Schulweg nutzen. Das reduziert Verkehr vor der Schule und senkt den CO₂-Ausstoß, weil weniger Eltern-Taxis unterwegs sind. So verbindet das Training Sicherheit, Selbstständigkeit und Klimaschutz auf praktische Weise.</t>
  </si>
  <si>
    <t xml:space="preserve">Beschreibung der Maßnahme </t>
  </si>
  <si>
    <t>Unterstützung folgender SDGs</t>
  </si>
  <si>
    <t>WP1</t>
  </si>
  <si>
    <t>Bau und Verkauf von Insektenhotels/Vogelhäuser</t>
  </si>
  <si>
    <t>Die 8. Klassen bauen im Fach Technik Insektenhotels. Das Füllmaterial dazu sammeln die 6. Klassen. Die AG Schulgarten wiederum befüllt die Insektenhotels, welche dann von der Klasse des Umweltbeauftragten an einem Weihnachtsfest der Schule verkauft werden. Das Bauen und Nutzen von Insektenhotels fördert die Artenvielfalt, insbesondere die Bestände von Wildbienen und anderen Bestäubern. Diese Insekten tragen zur Bestäubung von Pflanzen bei, was die natürliche CO2-Aufnahme durch gesunde Ökosysteme unterstützt. Indem Schüler das Füllmaterial selbst sammeln und recyceln, werden zusätzliche Ressourcen geschont, die bei der industriellen Herstellung anfallen würden.
Das Projekt stärkt das Bewusstsein für nachhaltiges Handeln und fördert die Zusammenarbeit zwischen Klassen und Arbeitsgruppen. Der Verkauf der Insektenhotels sensibilisiert auch Eltern und Besucher des Weihnachtsfests für Umwelt- und Klimaschutz, was eine Multiplikatorwirkung hat. So trägt das Projekt langfristig zur Reduktion von CO2-Emissionen und zum Erhalt eines intakten Ökosystems bei.</t>
  </si>
  <si>
    <t>SDG 4, 11, 12, 13, 15</t>
  </si>
  <si>
    <t>WP2</t>
  </si>
  <si>
    <t>Baumpfelge im Schulgarten</t>
  </si>
  <si>
    <t>Seit Oktober 2025 schneiden der Lehrer Florian Pfeiffer, die Leiterin der Schulgarten-AG Ulrike Exl und freiwillige Schülerinnen und Schüler der 9. Klassen jedes Jahr im Herbst und im Frühling die Obstbäume des Schulgartens zurück. Durch den regelmäßigen fachgerechten Schnitt bleiben die Bäume gesund und tragen mehr Früchte, sodass die Schule eigenes regionales Obst nutzen kann. Das spart Transportwege und reduziert den CO₂-Ausstoß. Gleichzeitig binden die gepflegten Bäume weiterhin CO₂, fördern die Biodiversität und vermitteln den Schülerinnen und Schülern praktisches Wissen über nachhaltige, klimafreundliche Ernährung.</t>
  </si>
  <si>
    <t>Ulrike Exl &amp; Florian Pfeiffer</t>
  </si>
  <si>
    <t>SDG 15, 4</t>
  </si>
  <si>
    <t>WP3</t>
  </si>
  <si>
    <t>Spendenaktion durch Tombola</t>
  </si>
  <si>
    <t>SDG 4</t>
  </si>
  <si>
    <t>WP4</t>
  </si>
  <si>
    <t>Spende an Partnerschule in Uganda</t>
  </si>
  <si>
    <t>Im Rahmen der schulischer Aktionen Winterzauber, sammelt die Erhard-Vöhlin-Mittelschule Illertissen regelmäßig Spenden für den Verein Hilfe für Kinder in Uganda e. V.. Die Erlöse stammen  aus dem Verkauf selbst hergestellter Produkte und werden gezielt für Bildungs- und Hilfsprojekte in Uganda eingesetzt. Die Spendenaktion verbindet soziales Engagement mit globaler Klimabildung. Den Schülerinnen und Schülern wird verdeutlicht, dass die Folgen des Klimawandels besonders stark Regionen treffen, die selbst nur sehr geringe CO₂-Emissionen verursachen. Durch die Unterstützung von Bildungs- und Infrastrukturprojekten leistet die Schule einen Beitrag zu mehr Klimagerechtigkeit und nachhaltiger Entwicklung. Gleichzeitig wird der Zusammenhang zwischen Bildung, Ressourcenschonung und langfristiger CO₂-Reduktion thematisiert: Verbesserte Bildungsbedingungen und stabile Lebensgrundlagen tragen dazu bei, umweltschädliche Notlösungen (z. B. Abholzung, ineffiziente Energiegewinnung) zu vermeiden und nachhaltige Strukturen zu fördern.</t>
  </si>
  <si>
    <t>Vespermann</t>
  </si>
  <si>
    <t>SDG 1, 2, 6, 10, 17</t>
  </si>
  <si>
    <t>WP5</t>
  </si>
  <si>
    <t>Bewerbung "Schule ohne Rassismus"</t>
  </si>
  <si>
    <t>Das Siegel „Schule ohne Rassismus – Schule mit Courage“ steht in engem Zusammenhang mit den 17 Zielen für nachhaltige Entwicklung (SDGs), insbesondere mit SDG 4 (Hochwertige Bildung), SDG 10 (Weniger Ungleichheiten) und SDG 16 (Frieden, Gerechtigkeit und starke Institutionen). Nachhaltige Entwicklung kann nur gelingen, wenn alle Menschen unabhängig von Herkunft, Aussehen oder Religion gleichwertig behandelt werden. Besonders hervorzuheben ist, dass der Anstoß zur Teilnahme an diesem Projekt von unserer SMV ausging. Die Schülerinnen und Schüler haben sich bewusst dafür eingesetzt, ein klares Zeichen gegen Rassismus und für eine offene, gerechte und zukunftsfähige Schulgemeinschaft zu setzen.</t>
  </si>
  <si>
    <t>SDG 4, 5, 10, 16</t>
  </si>
  <si>
    <t>WP6</t>
  </si>
  <si>
    <t>Spendenlauf</t>
  </si>
  <si>
    <t>Im Rahmen eines geplanten Spendenlaufs wird die Schulgemeinschaft Bewegung, Gemeinschaft und nachhaltiges Handeln miteinander verbinden. Die Aktion wird insbesondere die 17 Ziele für nachhaltige Entwicklung (SDGs) aufgreifen, vor allem SDG 3 (Gesundheit und Wohlergehen), SDG 10 (Weniger Ungleichheiten) und SDG 13 (Maßnahmen zum Klimaschutz). Die Schülerinnen und Schüler werden sich aktiv engagieren, um mit ihrer Leistung soziale und ökologische Projekte zu unterstützen und dabei zu erfahren, dass nachhaltige Entwicklung nur durch gemeinsames Handeln gelingt.</t>
  </si>
  <si>
    <t>Valentin Sauter, Janina Biliczky</t>
  </si>
  <si>
    <t>SDG 3, 4, 10, 17</t>
  </si>
  <si>
    <t>WP7</t>
  </si>
  <si>
    <t>Beschreibung der Maßnahme</t>
  </si>
  <si>
    <t>KA1</t>
  </si>
  <si>
    <t>KA2</t>
  </si>
  <si>
    <t>KA3</t>
  </si>
  <si>
    <t>KA4</t>
  </si>
  <si>
    <t>KA5</t>
  </si>
  <si>
    <t>Kompensations-
menge pro Jahr</t>
  </si>
  <si>
    <t>Ziel: Kompensation durchgeführt im Jahr</t>
  </si>
  <si>
    <t>KO1</t>
  </si>
  <si>
    <t>KO2</t>
  </si>
  <si>
    <t>KO3</t>
  </si>
  <si>
    <t>KO4</t>
  </si>
  <si>
    <t>KO5</t>
  </si>
  <si>
    <t>KO6</t>
  </si>
  <si>
    <t>KO7</t>
  </si>
  <si>
    <t>KO8</t>
  </si>
  <si>
    <t>KO9</t>
  </si>
  <si>
    <t>KO10</t>
  </si>
  <si>
    <r>
      <t>Der CO</t>
    </r>
    <r>
      <rPr>
        <b/>
        <vertAlign val="subscript"/>
        <sz val="26"/>
        <rFont val="Calibri"/>
        <family val="2"/>
        <scheme val="minor"/>
      </rPr>
      <t>2</t>
    </r>
    <r>
      <rPr>
        <b/>
        <sz val="26"/>
        <rFont val="Calibri"/>
        <family val="2"/>
        <scheme val="minor"/>
      </rPr>
      <t>-Reduktionspfad der Schule</t>
    </r>
  </si>
  <si>
    <t xml:space="preserve">1. Ausgangssituation </t>
  </si>
  <si>
    <t>Kalenderjahr der ersten Treibhausgasbilanz (Bitte ausfüllen)</t>
  </si>
  <si>
    <r>
      <t>Ergebnis des ersten Treibhausgasbilanz laut des CO</t>
    </r>
    <r>
      <rPr>
        <vertAlign val="subscript"/>
        <sz val="12"/>
        <rFont val="Calibri"/>
        <family val="2"/>
        <scheme val="minor"/>
      </rPr>
      <t>2</t>
    </r>
    <r>
      <rPr>
        <sz val="12"/>
        <rFont val="Calibri"/>
        <family val="2"/>
        <scheme val="minor"/>
      </rPr>
      <t>-Rechners für Schulen (Bitte ausfüllen)</t>
    </r>
  </si>
  <si>
    <t>2. Zusammenfassung der Einsparungsziele laut der im Klimaschutzplan hinterlegten Maßnahmen</t>
  </si>
  <si>
    <t>Geplante prozentuale Einsparung im Vergleich zur ersten Treibhausgasbilanz</t>
  </si>
  <si>
    <t>3. Ziele und reale Entwicklungen der Treibhausgasemissionen</t>
  </si>
  <si>
    <r>
      <t>CO</t>
    </r>
    <r>
      <rPr>
        <vertAlign val="subscript"/>
        <sz val="9"/>
        <rFont val="Calibri"/>
        <family val="2"/>
        <scheme val="minor"/>
      </rPr>
      <t>2</t>
    </r>
    <r>
      <rPr>
        <sz val="9"/>
        <rFont val="Calibri"/>
        <family val="2"/>
        <scheme val="minor"/>
      </rPr>
      <t>-Emissionsziele der Schule laut Klimaschutzplan</t>
    </r>
    <r>
      <rPr>
        <b/>
        <sz val="9"/>
        <rFont val="Calibri"/>
        <family val="2"/>
        <scheme val="minor"/>
      </rPr>
      <t xml:space="preserve"> ohne Kompensationsmaßnahmen</t>
    </r>
  </si>
  <si>
    <t>Geplanter Reduktionspfad ohne Kompensation</t>
  </si>
  <si>
    <r>
      <t>Tatsächliche Treibhausgasemissionen laut CO</t>
    </r>
    <r>
      <rPr>
        <vertAlign val="subscript"/>
        <sz val="9"/>
        <rFont val="Calibri"/>
        <family val="2"/>
        <scheme val="minor"/>
      </rPr>
      <t>2</t>
    </r>
    <r>
      <rPr>
        <sz val="9"/>
        <rFont val="Calibri"/>
        <family val="2"/>
        <scheme val="minor"/>
      </rPr>
      <t xml:space="preserve">-Rechner für Schulen </t>
    </r>
    <r>
      <rPr>
        <b/>
        <sz val="9"/>
        <rFont val="Calibri"/>
        <family val="2"/>
        <scheme val="minor"/>
      </rPr>
      <t xml:space="preserve">ohne Kompensationsmaßnahmen </t>
    </r>
  </si>
  <si>
    <t>Tatsächlicher Reduktionspfad ohne Kompensation</t>
  </si>
  <si>
    <r>
      <t>CO</t>
    </r>
    <r>
      <rPr>
        <vertAlign val="subscript"/>
        <sz val="9"/>
        <rFont val="Calibri"/>
        <family val="2"/>
        <scheme val="minor"/>
      </rPr>
      <t>2</t>
    </r>
    <r>
      <rPr>
        <sz val="9"/>
        <rFont val="Calibri"/>
        <family val="2"/>
        <scheme val="minor"/>
      </rPr>
      <t xml:space="preserve">-Emissionsziele der Schule laut Klimaschutzplan </t>
    </r>
    <r>
      <rPr>
        <b/>
        <sz val="9"/>
        <rFont val="Calibri"/>
        <family val="2"/>
        <scheme val="minor"/>
      </rPr>
      <t>mit Kompensationsmaßnahmen</t>
    </r>
  </si>
  <si>
    <t>Geplanter Reduktionspfad mit Kompensation</t>
  </si>
  <si>
    <r>
      <t>Tatsächliche Treibhausgasemissionen laut CO</t>
    </r>
    <r>
      <rPr>
        <vertAlign val="subscript"/>
        <sz val="9"/>
        <rFont val="Calibri"/>
        <family val="2"/>
        <scheme val="minor"/>
      </rPr>
      <t>2</t>
    </r>
    <r>
      <rPr>
        <sz val="9"/>
        <rFont val="Calibri"/>
        <family val="2"/>
        <scheme val="minor"/>
      </rPr>
      <t xml:space="preserve">-Rechner für Schulen </t>
    </r>
    <r>
      <rPr>
        <b/>
        <sz val="9"/>
        <rFont val="Calibri"/>
        <family val="2"/>
        <scheme val="minor"/>
      </rPr>
      <t xml:space="preserve">mit Kompensationsmaßnahmen </t>
    </r>
  </si>
  <si>
    <t>Tatsächlicher Reduktionspfad mit Kompensation</t>
  </si>
  <si>
    <t>FAQ</t>
  </si>
  <si>
    <t>Weitere Hilfestellungen zur Erstellung des Klimaschutzplans finden Sie auf der Website der Klimaschule Bayern:</t>
  </si>
  <si>
    <t>https://www.klimaschule.bayern.de/klimaschutzplan/</t>
  </si>
  <si>
    <t>Aufgaben für Schulen, die sich rezertifizieren lassen</t>
  </si>
  <si>
    <t>neuen CO2-Fußabdruck eintragen</t>
  </si>
  <si>
    <t>CO2-Reduktionsziele überprüfen</t>
  </si>
  <si>
    <t>Statusfelder anpassen</t>
  </si>
  <si>
    <t>Überprüfen, ob gpelante Maßnahmen umgesetzt wurden</t>
  </si>
  <si>
    <r>
      <t>Notwendige Emissions- und Umrechnungsfaktoren des CO</t>
    </r>
    <r>
      <rPr>
        <vertAlign val="subscript"/>
        <sz val="16"/>
        <color theme="1"/>
        <rFont val="Calibri"/>
        <family val="2"/>
        <scheme val="minor"/>
      </rPr>
      <t>2</t>
    </r>
    <r>
      <rPr>
        <sz val="16"/>
        <color theme="1"/>
        <rFont val="Calibri"/>
        <family val="2"/>
        <scheme val="minor"/>
      </rPr>
      <t xml:space="preserve">-Rechners der Klimaschule Bayern </t>
    </r>
  </si>
  <si>
    <t>Emissionsfaktor</t>
  </si>
  <si>
    <t>Hinweis</t>
  </si>
  <si>
    <t>Faktor</t>
  </si>
  <si>
    <t>Datum Faktor</t>
  </si>
  <si>
    <t>Kommentar</t>
  </si>
  <si>
    <t>Link</t>
  </si>
  <si>
    <t>Restmüll</t>
  </si>
  <si>
    <t>E1</t>
  </si>
  <si>
    <t>Emission pro m³</t>
  </si>
  <si>
    <t>kg CO2-Äquiv./ m³</t>
  </si>
  <si>
    <t>Umrechnung: 1 m³ Restmüll entspricht einem Gewicht von 0,1 Tonnen</t>
  </si>
  <si>
    <t>DEFRA Conversion Factors 2021 - Tabelle "Waste disposal" Zelle H49 (Faktor bezieht sich auf Hausmüll, welcher in Müllverbrennungsanlage genutzt wird)</t>
  </si>
  <si>
    <t>https://www.gov.uk/government/publications/greenhouse-gas-reporting-conversion-factors-2021</t>
  </si>
  <si>
    <t>E2</t>
  </si>
  <si>
    <t>Emisison pro Tonne</t>
  </si>
  <si>
    <t>kg CO2-Äquiv./ Tonne</t>
  </si>
  <si>
    <t>Umrechnung: 1 Tonne Restmüll entspricht einem Volumen von 10m³</t>
  </si>
  <si>
    <t>https://www.statistik-bw.de/DatenMelden/Formularservice/33_A_Umrechnungsfaktoren.pdf</t>
  </si>
  <si>
    <t>Papiermüll</t>
  </si>
  <si>
    <t>E3</t>
  </si>
  <si>
    <t>Umrechnung: 1 Kubikmeter Altpapier im Sammelcontainer wiegt 0,2 Tonnen</t>
  </si>
  <si>
    <t>E4</t>
  </si>
  <si>
    <t>DEFRA Conversion Factors 2021 - Tabelle "Waste disposal" Zelle G90</t>
  </si>
  <si>
    <t>Digitalisierung</t>
  </si>
  <si>
    <t>Laptop</t>
  </si>
  <si>
    <t>E5</t>
  </si>
  <si>
    <t>Herstellungsemissionen pro Gerät</t>
  </si>
  <si>
    <t>kg CO2-Äquiv./ Laptop</t>
  </si>
  <si>
    <t>starke Unterschiede zwischen den Geräten. Der angebene Wert ist die obere Grenze der Spanne. Unterschiede je nach Größe, Hersteller und Ausstattung. Gilt auch für Tablets und PCs.</t>
  </si>
  <si>
    <t>Öko-Institut Freiburg</t>
  </si>
  <si>
    <t>https://www.oeko.de/fileadmin/oekodoc/Digitaler-CO2-Fussabdruck.pdf</t>
  </si>
  <si>
    <t>Tablet</t>
  </si>
  <si>
    <t>E6</t>
  </si>
  <si>
    <t>kg CO2-Äquiv./ Tablet</t>
  </si>
  <si>
    <t>Desktop-PC Rechner</t>
  </si>
  <si>
    <t>E7</t>
  </si>
  <si>
    <t>kg CO2-Äquiv./ PC inkl. Bildschirm</t>
  </si>
  <si>
    <t>Desktop-PC Bildschirm</t>
  </si>
  <si>
    <t>E8</t>
  </si>
  <si>
    <t>Digitalisierung (optional)</t>
  </si>
  <si>
    <t>Internetnutzung kabelgebunden</t>
  </si>
  <si>
    <t>E9</t>
  </si>
  <si>
    <t>Emissionen pro GB Datenvolumen</t>
  </si>
  <si>
    <t>kg CO2-Äquiv./ GB Datenvolumen</t>
  </si>
  <si>
    <t>Für die Datenübertragung wird der Faktor vom deutschen Strommix angenommen</t>
  </si>
  <si>
    <t>Internetnutzung mobile Daten</t>
  </si>
  <si>
    <t>E10</t>
  </si>
  <si>
    <t>Kopierpapier A4, Frischfaser, 80g/m²</t>
  </si>
  <si>
    <t>E11</t>
  </si>
  <si>
    <t>Emission pro Blatt</t>
  </si>
  <si>
    <t>kg CO2-Äquiv./ Blatt</t>
  </si>
  <si>
    <t>Annahme Papierqualität 80g/m2; 1 Packung a 500 Blatt wiegt 0,0024948 t</t>
  </si>
  <si>
    <t>Defra 2021 (Papier Primärproduktion)</t>
  </si>
  <si>
    <t>Kopierpapier A4, Recycling, 80g/m²</t>
  </si>
  <si>
    <t>E12</t>
  </si>
  <si>
    <t>Defra 2021 (Papier recycled closed loop)</t>
  </si>
  <si>
    <t>Toilettenpapier Frischfaser, Normalrolle</t>
  </si>
  <si>
    <t>E13</t>
  </si>
  <si>
    <t>Emission pro Normalrolle</t>
  </si>
  <si>
    <t>kg CO2-Äquiv./ Rolle</t>
  </si>
  <si>
    <t>Annahme: eine Normalrolle entspricht einem Gewicht von 175g</t>
  </si>
  <si>
    <t>Toilettenpapier Frischfaser, Jumborolle</t>
  </si>
  <si>
    <t>E14</t>
  </si>
  <si>
    <t>Emission pro Jumborolle</t>
  </si>
  <si>
    <t>Eine Jumborolle entspricht ca. 9 Normalrollen (https://www.falthandtuch5000.de/toilettenpapier-online-grosshandel/92-maxi-jumbo-toilettenpapier-zellstoff-2-lagig-250m-rolle-papernet-402298-6-rollen-ve-8013924422980.html; https://www.falthandtuch5000.de/toilettenpapier-online-grosshandel/2-toilettenpapier-zellstoff-3-lagig-250-blatt-isabella-72-rollen-ve.html)</t>
  </si>
  <si>
    <t>Toilettenpapier Recyclingpapier, Normalrolle</t>
  </si>
  <si>
    <t>E15</t>
  </si>
  <si>
    <t>Toilettenpapier Recyclingpapier, Jumbo</t>
  </si>
  <si>
    <t>E16</t>
  </si>
  <si>
    <t>Einmal-Papierhandtücher, Frischfaser</t>
  </si>
  <si>
    <t>E17</t>
  </si>
  <si>
    <t>Annahmen: Handtuchgröße 20x20cm, spez. Papiergewicht 50g/m2</t>
  </si>
  <si>
    <t>Einmal-Papierhandtücher, Recycling</t>
  </si>
  <si>
    <t>E18</t>
  </si>
  <si>
    <t>Ernährung-Mensa</t>
  </si>
  <si>
    <t>Tellergericht vegetarisch</t>
  </si>
  <si>
    <t>E19</t>
  </si>
  <si>
    <t>Emission pro Portion bzw. Teller</t>
  </si>
  <si>
    <t>kg CO2-Äquiv./ Portion</t>
  </si>
  <si>
    <t>Eigenberechnung (siehe Tabelle "Berechnung Gerichte"): Mittelwert verschiedener vegetarischer und veganer Gerichte</t>
  </si>
  <si>
    <t>Ökologische Fußabdrücke von Lebensmitteln und Gerichten in Deutschland (Guido Reinhardt, Sven Gärtner, Tobias Wagner - Heidelberg, 2020 - ifeu)</t>
  </si>
  <si>
    <t>https://www.ifeu.de/fileadmin/uploads/Reinhardt-Gaertner-Wagner-2020-Oekologische-Fu%C3%9Fabdruecke-von-Lebensmitteln-und-Gerichten-in-Deutschland-ifeu-2020.pdf</t>
  </si>
  <si>
    <t>Tellergericht Fleisch</t>
  </si>
  <si>
    <t>E20</t>
  </si>
  <si>
    <t>Eigenberechnung (siehe Tabelle "Berechnung Gerichte"): Mittelwert verschiedener fleischhaltiger Gerichte</t>
  </si>
  <si>
    <t>Tellergericht vegan</t>
  </si>
  <si>
    <t>E21</t>
  </si>
  <si>
    <t>Ernährung-Schulkiosk</t>
  </si>
  <si>
    <t>Mit Wurst belegtes Brötchen</t>
  </si>
  <si>
    <t>E22</t>
  </si>
  <si>
    <t>Emission pro Brötchen</t>
  </si>
  <si>
    <t>kg CO2-Äquiv./ Brötchen</t>
  </si>
  <si>
    <t>Zusammenstellung siehe unten</t>
  </si>
  <si>
    <t xml:space="preserve">        Brötchen (40g)</t>
  </si>
  <si>
    <t>kg CO2-Äquiv.</t>
  </si>
  <si>
    <t>Brötchen, Weißbrot: 0,7 kg CO2-Äquiv./kg Lebensmittel; durchschn. Gewicht eines Brötchens: 30-50 Gramm -&gt; Mittelwert = 40g/ Brötchen</t>
  </si>
  <si>
    <t xml:space="preserve">        Butter (10g)</t>
  </si>
  <si>
    <t>Butter: 9,0 kg CO2-Äquiv./kg Lebensmittel; Annahme: ca. 10g Butter/ Brötchen</t>
  </si>
  <si>
    <t xml:space="preserve">        Wurst, Durchschnitt (30g)</t>
  </si>
  <si>
    <t>Wurst, Durchschnitt: 2,9 kg CO2-Äquiv./kg Lebensmittel; Annahme: ca. 30g Käse/ Brötchen</t>
  </si>
  <si>
    <t>Vegetarisch belegtes Brötchen (mit Käse)</t>
  </si>
  <si>
    <t>E23</t>
  </si>
  <si>
    <t xml:space="preserve">        Käse, Durchschnitt (30g)</t>
  </si>
  <si>
    <t>Käse, Durchschnitt: 5,7 kg CO2-Äquiv./kg Lebensmittel; Annahme: ca. 30g Käse/ Brötchen</t>
  </si>
  <si>
    <t>Vegan belegtes Brötchen</t>
  </si>
  <si>
    <t>E25</t>
  </si>
  <si>
    <t xml:space="preserve">        Margarine, halbfett (10g)</t>
  </si>
  <si>
    <t>Margarine, halbfett: 1,7 kg CO2-Äquiv./kg Lebensmittel; Annahme: ca. 10g Margarine/ Brötchen</t>
  </si>
  <si>
    <t xml:space="preserve">        Wurst-Ersatz, Durchschnitt (30g)</t>
  </si>
  <si>
    <t>Wurst-Ersatz: 1,7 kg CO2-Äquiv./kg Lebensmittel; Annahme: ca. 30g Wurst-Ersatz/ Brötchen</t>
  </si>
  <si>
    <t>Unbelegte Brötchen</t>
  </si>
  <si>
    <t>Süßes Stückchen (z.B. Croissants, Plunder,…)</t>
  </si>
  <si>
    <t>E26</t>
  </si>
  <si>
    <t>kg CO2-Äquiv./ Stück</t>
  </si>
  <si>
    <t>Feinbackwaren: 1,6 kg CO2-Äquiv./kg Lebensmittel</t>
  </si>
  <si>
    <t xml:space="preserve">        Berliner</t>
  </si>
  <si>
    <t>g</t>
  </si>
  <si>
    <t>Gewicht für süßes Stück ergibt sich aus Mittelwert eines Berliners, einer Quarktasche und einer Nussecke</t>
  </si>
  <si>
    <t xml:space="preserve">        Quarktasche</t>
  </si>
  <si>
    <t xml:space="preserve">        Nussecke</t>
  </si>
  <si>
    <t>Dauerwurst</t>
  </si>
  <si>
    <t>E27</t>
  </si>
  <si>
    <t>Emission pro Stück</t>
  </si>
  <si>
    <t>Wurst, Bratwurst, Thüringer Rostbratwurst; Annahme: Gewicht 80g pro Stück</t>
  </si>
  <si>
    <t>Ernährung-Getränke</t>
  </si>
  <si>
    <t>Kaffee</t>
  </si>
  <si>
    <t>E28</t>
  </si>
  <si>
    <t>Emisison pro kg</t>
  </si>
  <si>
    <t>kg CO2-Äquiv./ kg Lebensmittel</t>
  </si>
  <si>
    <t>E29</t>
  </si>
  <si>
    <t>Emission pro Liter</t>
  </si>
  <si>
    <t>kg CO2-Äquiv./ Liter</t>
  </si>
  <si>
    <t>Umrechnung Emissionsfaktor Kaffee von kg auf Liter; Annahme: mit einem kg Kaffeepulver können 15-20 Liter Kaffee gebrüht werden -&gt; Mittelwert = 17,5 Liter (-&gt; 57g Kaffeepulver werden pro Liter benötigt)</t>
  </si>
  <si>
    <t>Milch</t>
  </si>
  <si>
    <t>E30</t>
  </si>
  <si>
    <t>Umrechnung mit Annahme: Dichte Milch = 1,03kg/ Liter</t>
  </si>
  <si>
    <t>Milchgetränk vegan</t>
  </si>
  <si>
    <t>E31</t>
  </si>
  <si>
    <t>Faktor von Sojamilch (häufigste Verwendung); Umrechnung mit Annahme: Dichte  = 1,0 kg/ Liter</t>
  </si>
  <si>
    <t>Erfrischungsgetränke pauschal</t>
  </si>
  <si>
    <t>E32</t>
  </si>
  <si>
    <t>Studie Öko-Instiut: COP 23 Umweltbericht Auswertung, 2018, S. 48 (515g)</t>
  </si>
  <si>
    <t>Auto Verbrennungsmotor Alleinfahrt</t>
  </si>
  <si>
    <t>E33</t>
  </si>
  <si>
    <t>Emission pro Pkm</t>
  </si>
  <si>
    <t>kg CO2-Äquiv./ Pkm</t>
  </si>
  <si>
    <t>Faktor von 152g/km bezieht sich auf Auslastung des PKWs mit 1,4 Personen</t>
  </si>
  <si>
    <t>https://www.umweltbundesamt.de/themen/verkehr-laerm/emissionsdaten#verkehrsmittelvergleich_personenverkehr_grafik</t>
  </si>
  <si>
    <r>
      <t>Auto Verbrennungsmotor Fahrgemeinschaft (</t>
    </r>
    <r>
      <rPr>
        <sz val="11"/>
        <color theme="1"/>
        <rFont val="Calibri"/>
        <family val="2"/>
      </rPr>
      <t>≥2 Pers.)</t>
    </r>
  </si>
  <si>
    <t>E34</t>
  </si>
  <si>
    <t>Alleinfahrer-Emissionen durch 2,3 unter der Annahme, dass im Mittel 2,3 Personen pro Fahrgemeinschaft unterwegs sind</t>
  </si>
  <si>
    <t>Reisebus</t>
  </si>
  <si>
    <t>E35</t>
  </si>
  <si>
    <t>Tabelle "Vergleich der durchschnittlichen Treibhausgas-Emissionen einzelner Verkehrsmittel im Personenverkehr": Sonstige Reisebusse</t>
  </si>
  <si>
    <t>E-Auto Alleinfahrt</t>
  </si>
  <si>
    <t>E36</t>
  </si>
  <si>
    <t xml:space="preserve">        Betrieb mit deutschem Strommix</t>
  </si>
  <si>
    <t>Annahme: Durchschnittsverbrauch pro 100km = 21 kWh</t>
  </si>
  <si>
    <t xml:space="preserve">        Betrieb mit Ökostrom</t>
  </si>
  <si>
    <r>
      <t>E-Auto Fahrgemeinschaft (</t>
    </r>
    <r>
      <rPr>
        <sz val="11"/>
        <color theme="1"/>
        <rFont val="Calibri"/>
        <family val="2"/>
      </rPr>
      <t>≥2 Personen)</t>
    </r>
  </si>
  <si>
    <t>E37</t>
  </si>
  <si>
    <t>E-Bike</t>
  </si>
  <si>
    <t>E38</t>
  </si>
  <si>
    <t>Berechnung = Mittelwert aus Betrieb mit Strommix und Ökostrom</t>
  </si>
  <si>
    <t>Annahme: Durchschnittsverbrauch = 1,4 kWh/ 100 km</t>
  </si>
  <si>
    <t>https://www.energie-experten.ch/de/mobilitaet/detail/e-bikes-uebernehmen-die-strasse.html</t>
  </si>
  <si>
    <t>E-Roller</t>
  </si>
  <si>
    <t>E39</t>
  </si>
  <si>
    <t>Annahme: Durchschnittsverbrauch = 1,5 kWh/ 100 km</t>
  </si>
  <si>
    <t>https://www.epowers.org/elektro-scooter/co2-bilanz/</t>
  </si>
  <si>
    <t>Motorrad/Roller</t>
  </si>
  <si>
    <t>E40</t>
  </si>
  <si>
    <t>Emissionsfaktor von "Motorbike average"</t>
  </si>
  <si>
    <t>DEFRA Conversion Factors 2021</t>
  </si>
  <si>
    <t>ÖPNV</t>
  </si>
  <si>
    <t>E41</t>
  </si>
  <si>
    <t>Faktor ist berechneter Mischfaktor aus den verschiedenen ÖPNV-Verkehrsmitteln</t>
  </si>
  <si>
    <t xml:space="preserve">        Eisenbahn Nahverkehr</t>
  </si>
  <si>
    <t>Bezugsjahr 2019 wurde gewählt, da der Emissionsfaktor des Jahres 2020 durch die Auswirkungen der Coronapandemie nicht repräsentativ ist</t>
  </si>
  <si>
    <t xml:space="preserve">        Linienbus Nahverkehr</t>
  </si>
  <si>
    <t xml:space="preserve">        Straßen-, Stadt-, U-Bahn (Mischfaktor)</t>
  </si>
  <si>
    <t>Flugzeug</t>
  </si>
  <si>
    <t>E42</t>
  </si>
  <si>
    <t>Faktor ist berechneter Mischfaktor aus Inlands- und Auslands-/ Interkontinentalflügen</t>
  </si>
  <si>
    <t xml:space="preserve">        Flugzeug (Inland)</t>
  </si>
  <si>
    <t xml:space="preserve">ifeu 2021 auf Basis von TREMOD und unter Einbeziehung eines EW-Faktors von 2,7 (Emission Weighting Factor) </t>
  </si>
  <si>
    <t xml:space="preserve">        Flugzeug (Ausland/ Interkontinental)</t>
  </si>
  <si>
    <t>Schifffahrt</t>
  </si>
  <si>
    <t>E43</t>
  </si>
  <si>
    <t>Emissionsfaktor von "Ferry - foot passenger"</t>
  </si>
  <si>
    <t>Deutscher Strommix Netzbezug</t>
  </si>
  <si>
    <t>E44</t>
  </si>
  <si>
    <t>Emission pro kWh Strom</t>
  </si>
  <si>
    <t>kg CO2-Äquiv./ kWh</t>
  </si>
  <si>
    <t>Der vorläufige Emissionsfaktor von 2021 (485g CO2-Äquiv./kWh) wird nicht herangezogen, da der Wert vom UBA bislang nicht bestätigt wurde.</t>
  </si>
  <si>
    <t>https://www.umweltbundesamt.de/themen/klima-energie/energieversorgung/strom-waermeversorgung-in-zahlen?sprungmarke=Strommix#Strommix</t>
  </si>
  <si>
    <t>Ökostrom Netzbezug</t>
  </si>
  <si>
    <t>E45</t>
  </si>
  <si>
    <t>Emission pro kWh</t>
  </si>
  <si>
    <t>Umweltbundesamt</t>
  </si>
  <si>
    <t xml:space="preserve">https://www.umweltbundesamt.de/publikationen/emissionsbilanz-erneuerbarer-energietraeger-2020 </t>
  </si>
  <si>
    <t>Eigenstromverbrauch PV-Anlage</t>
  </si>
  <si>
    <t>E46</t>
  </si>
  <si>
    <t>https://www.umweltbundesamt.de/sites/default/files/medien/1410/publikationen/2021-12-13_climate-change_71-2021_emissionsbilanz_erneuerbarer_energien_2020.pdf</t>
  </si>
  <si>
    <t>Eigenstromverbauch Wasserkraft</t>
  </si>
  <si>
    <t>E47</t>
  </si>
  <si>
    <t>E48</t>
  </si>
  <si>
    <t>https://www.bafa.de/SharedDocs/Downloads/DE/Energie/eew_infoblatt_co2_faktoren_2021.pdf?__blob=publicationFile&amp;v=5</t>
  </si>
  <si>
    <t>E49</t>
  </si>
  <si>
    <t>E50</t>
  </si>
  <si>
    <t>Emission pro Srm</t>
  </si>
  <si>
    <t>kg CO2-Äquiv./ Srm</t>
  </si>
  <si>
    <t>E51</t>
  </si>
  <si>
    <t>Emission pro Tonne</t>
  </si>
  <si>
    <t>E52</t>
  </si>
  <si>
    <t>E53</t>
  </si>
  <si>
    <t>E54</t>
  </si>
  <si>
    <t>E55</t>
  </si>
  <si>
    <t xml:space="preserve">lt. Bisko Endenergie Wärme </t>
  </si>
  <si>
    <t>E56</t>
  </si>
  <si>
    <t>Umrechnung ist von Zustandszahl und Brennwert des Gases beim Verbraucher abhängig, daher ist eine Umrechnung mit Faktor 9,77 eine grobe Vereinfachung</t>
  </si>
  <si>
    <t>E57</t>
  </si>
  <si>
    <t>Berechnung = Mittelwert Steinkohle und Braunkohle</t>
  </si>
  <si>
    <t>https://www.google.com/url?sa=t&amp;rct=j&amp;q=&amp;esrc=s&amp;source=web&amp;cd=&amp;ved=2ahUKEwiiztSCwOv3AhWLQvEDHfovCI8QFnoECAYQAQ&amp;url=https%3A%2F%2Fwww.umweltbundesamt.de%2Fsites%2Fdefault%2Ffiles%2Fmedien%2Fpublikation%2Flong%2F3476.pdf&amp;usg=AOvVaw0sMFtTuiahaNbZKRRCthDo</t>
  </si>
  <si>
    <t xml:space="preserve">        Steinkohle</t>
  </si>
  <si>
    <t>Quelle: siehe Tabelle 9 - Brennstoffdifferenzierte direkte und gesamte THG-Emissionsfaktoren
für Heizwerke im Jahr 2005</t>
  </si>
  <si>
    <t xml:space="preserve">        Braunkohle</t>
  </si>
  <si>
    <t>E58</t>
  </si>
  <si>
    <t>kg CO2-Äquiv./ kWh (gelieferte Wärmemenge)</t>
  </si>
  <si>
    <t>Eigenberechnung (Annahme: feuerungstechnischer Wirkungsgrad = 93% sowie Verluste über Fernwärmeleitung = 15%)</t>
  </si>
  <si>
    <t>E59</t>
  </si>
  <si>
    <t>Fernwärme (Müll HKW) - Variante 1</t>
  </si>
  <si>
    <t>E60</t>
  </si>
  <si>
    <t>Annahme: Verluste über Fernwärmeleitung = 15%  (Quelle: siehe Tabelle 19 - Emissionswert von "Müll-HKW-DT-EK")</t>
  </si>
  <si>
    <t>neu: Fernwärme (Müll HKW) - Optional</t>
  </si>
  <si>
    <t>nach GEG Anlage 9: Emissionsfaktoren Nr. 22</t>
  </si>
  <si>
    <t>https://www.geg-info.de/geg/anlage_09_umrechnung_in_treibhausgasemissionen.htm</t>
  </si>
  <si>
    <t>E61</t>
  </si>
  <si>
    <t>E62</t>
  </si>
  <si>
    <t>nach GEG Anlage 9: Emissionsfaktoren Nr. 17</t>
  </si>
  <si>
    <t>E63</t>
  </si>
  <si>
    <t>E64</t>
  </si>
  <si>
    <t>E65</t>
  </si>
  <si>
    <t>Ein Liter Heizöl enthält 9,94 kWh</t>
  </si>
  <si>
    <t xml:space="preserve">lt. Bisko Endeergie Wärme </t>
  </si>
  <si>
    <t>E66</t>
  </si>
  <si>
    <t>Strom (Deutscher Strommix Netzbezug)</t>
  </si>
  <si>
    <t>E67</t>
  </si>
  <si>
    <t>Vgl. Angabe im Sektor Strom</t>
  </si>
  <si>
    <t>Jahresarbeitszahl Wärmepumpe (Luft/Wasser)</t>
  </si>
  <si>
    <t>Jahresarbeitszahl Wärmepumpe (Sole/Wasser)</t>
  </si>
  <si>
    <t>Umrechnungsfaktoren
Wärme in kWh</t>
  </si>
  <si>
    <t>Biomasse: Hackschnitzel, Srm nach kWh</t>
  </si>
  <si>
    <t>U1</t>
  </si>
  <si>
    <t>Srm nach kWh</t>
  </si>
  <si>
    <t>Bayerische Landesanstalt für Wald und Fortwirtschaft, 2014, Berechnung eza!</t>
  </si>
  <si>
    <t>https://www.lwf.bayern.de/mam/cms04/service/dateien/mb-12-energiegehalt-holz.pdf</t>
  </si>
  <si>
    <t>Biomasse: Hackschnitzel, Tonne nach kWh</t>
  </si>
  <si>
    <t>U2</t>
  </si>
  <si>
    <t>Tonne nach kWh</t>
  </si>
  <si>
    <t>Biomasse: Pellets, Tonne nach kWh</t>
  </si>
  <si>
    <t>U3</t>
  </si>
  <si>
    <t>Biomasse: Pellets, m³ nach kWh</t>
  </si>
  <si>
    <t>U4</t>
  </si>
  <si>
    <t>m³ nach kWh</t>
  </si>
  <si>
    <t>Erdgas: m³ nach kWh</t>
  </si>
  <si>
    <t>U5</t>
  </si>
  <si>
    <t>Bundesamt für Wirtschaft und Ausfuhrkontrolle, 2021</t>
  </si>
  <si>
    <t>Flüssiggas: m³ nach kWh</t>
  </si>
  <si>
    <t>U6</t>
  </si>
  <si>
    <t>Heizöl: Liter nach kWh</t>
  </si>
  <si>
    <t>U7</t>
  </si>
  <si>
    <t>Liter nach kWh</t>
  </si>
  <si>
    <t>Solarthermie: m² nach kWh</t>
  </si>
  <si>
    <t>U8</t>
  </si>
  <si>
    <t>m² nach kWh</t>
  </si>
  <si>
    <t>https://www.verbraucherzentrale.de/wissen/energie/erneuerbare-energien/solarthermie-solarenergie-fuer-heizung-und-warmwasser-nutzen-5568</t>
  </si>
  <si>
    <t>Solarthermie</t>
  </si>
  <si>
    <t>E68</t>
  </si>
  <si>
    <t>Mittelwert für Vorkette wurde 80/20 gewichtet, da Flachkollektoren 80% der in Deutschland installierten Solarthermieflächen ausmachen. "Hilfsenergie" wurde nicht berücksichtigt, da diese als vorwiegende Pump-Energie bereits beim separat erfassten Strombezug inkludiert ist.</t>
  </si>
  <si>
    <t>Solarthermie - Flachkollektor</t>
  </si>
  <si>
    <t>Solarthermie - Vakuumröhrenkollektor</t>
  </si>
  <si>
    <t>E69</t>
  </si>
  <si>
    <t>Emission pro m² und Jahr</t>
  </si>
  <si>
    <t>kg CO2-Äquiv./ m²*a</t>
  </si>
  <si>
    <t>Annahme: pro m² Kollektorfläche werden 350kWh Wärmemenge jährlich erzeugt</t>
  </si>
  <si>
    <t>Wasser</t>
  </si>
  <si>
    <t>Leitungswasser gesamt (Frischwasser + Abwasser)</t>
  </si>
  <si>
    <t>E70</t>
  </si>
  <si>
    <t>Defra 2021</t>
  </si>
  <si>
    <t>Frischwasserberbrauch (m³)</t>
  </si>
  <si>
    <t>Water supply</t>
  </si>
  <si>
    <t>Abwasser (m³)</t>
  </si>
  <si>
    <t>Water treatment</t>
  </si>
  <si>
    <t>Sonstiges</t>
  </si>
  <si>
    <t>Emissionfaktoren verschiedener Kühlgase in Gebäudeklimaanlagen</t>
  </si>
  <si>
    <t>R-11</t>
  </si>
  <si>
    <t>E72</t>
  </si>
  <si>
    <t>GWP (global warming potential)</t>
  </si>
  <si>
    <t>kg CO2-Äquiv./ kg Kältemittel</t>
  </si>
  <si>
    <t>Faktor ändert sich nicht</t>
  </si>
  <si>
    <t>BAFA</t>
  </si>
  <si>
    <t>R-12</t>
  </si>
  <si>
    <t>E73</t>
  </si>
  <si>
    <t>R-13</t>
  </si>
  <si>
    <t>E74</t>
  </si>
  <si>
    <t>R13B1</t>
  </si>
  <si>
    <t>E75</t>
  </si>
  <si>
    <t>R-502</t>
  </si>
  <si>
    <t>E76</t>
  </si>
  <si>
    <t>R-22</t>
  </si>
  <si>
    <t>E77</t>
  </si>
  <si>
    <t>R-401A (MP39)</t>
  </si>
  <si>
    <t>E78</t>
  </si>
  <si>
    <t>R-402A (HP80)</t>
  </si>
  <si>
    <t>E79</t>
  </si>
  <si>
    <t>R-402B (HP81)</t>
  </si>
  <si>
    <t>E80</t>
  </si>
  <si>
    <t>R-408A (FX-10)</t>
  </si>
  <si>
    <t>E81</t>
  </si>
  <si>
    <t>R-409A (FX-56)</t>
  </si>
  <si>
    <t>E82</t>
  </si>
  <si>
    <t>R-1233zd ( E)</t>
  </si>
  <si>
    <t>E83</t>
  </si>
  <si>
    <t>R-1233zd(Z)</t>
  </si>
  <si>
    <t>E84</t>
  </si>
  <si>
    <t>R1224yd(Z)</t>
  </si>
  <si>
    <t>E85</t>
  </si>
  <si>
    <t>R-23</t>
  </si>
  <si>
    <t>E86</t>
  </si>
  <si>
    <t>R-32</t>
  </si>
  <si>
    <t>E87</t>
  </si>
  <si>
    <t>R-134a</t>
  </si>
  <si>
    <t>E88</t>
  </si>
  <si>
    <t>R-143a</t>
  </si>
  <si>
    <t>E89</t>
  </si>
  <si>
    <t>R-404A</t>
  </si>
  <si>
    <t>E90</t>
  </si>
  <si>
    <t>R407C</t>
  </si>
  <si>
    <t>E91</t>
  </si>
  <si>
    <t>R-407F</t>
  </si>
  <si>
    <t>E92</t>
  </si>
  <si>
    <t>R-410A</t>
  </si>
  <si>
    <t>E93</t>
  </si>
  <si>
    <t>R-413A</t>
  </si>
  <si>
    <t>E94</t>
  </si>
  <si>
    <t>R-417A</t>
  </si>
  <si>
    <t>E95</t>
  </si>
  <si>
    <t>R-422A</t>
  </si>
  <si>
    <t>E96</t>
  </si>
  <si>
    <t>R-422D</t>
  </si>
  <si>
    <t>E97</t>
  </si>
  <si>
    <t>R-437A</t>
  </si>
  <si>
    <t>E98</t>
  </si>
  <si>
    <t>R-507A</t>
  </si>
  <si>
    <t>E99</t>
  </si>
  <si>
    <t>R-508A</t>
  </si>
  <si>
    <t>E100</t>
  </si>
  <si>
    <t>R-508B</t>
  </si>
  <si>
    <t>E101</t>
  </si>
  <si>
    <t>R-448A</t>
  </si>
  <si>
    <t>E102</t>
  </si>
  <si>
    <t>R-449A</t>
  </si>
  <si>
    <t>E103</t>
  </si>
  <si>
    <t>R-450A</t>
  </si>
  <si>
    <t>E104</t>
  </si>
  <si>
    <t>R-452A</t>
  </si>
  <si>
    <t>E105</t>
  </si>
  <si>
    <t>R-454A</t>
  </si>
  <si>
    <t>E106</t>
  </si>
  <si>
    <t>R-455A</t>
  </si>
  <si>
    <t>E107</t>
  </si>
  <si>
    <t>R-513A</t>
  </si>
  <si>
    <t>E108</t>
  </si>
  <si>
    <t>R-170 (Ethan)</t>
  </si>
  <si>
    <t>E109</t>
  </si>
  <si>
    <t>R-290 (Propan)</t>
  </si>
  <si>
    <t>E110</t>
  </si>
  <si>
    <t>R-717 (NH3)</t>
  </si>
  <si>
    <t>E111</t>
  </si>
  <si>
    <t>R-718 (H2o)</t>
  </si>
  <si>
    <t>E112</t>
  </si>
  <si>
    <t>R-744 (CO2)</t>
  </si>
  <si>
    <t>E113</t>
  </si>
  <si>
    <t>R-600 (Butan)</t>
  </si>
  <si>
    <t>E114</t>
  </si>
  <si>
    <t>R-600a (Isobutan)</t>
  </si>
  <si>
    <t>E115</t>
  </si>
  <si>
    <t>R-1270 (Propan)</t>
  </si>
  <si>
    <t>E116</t>
  </si>
  <si>
    <t>R-290/R-600a</t>
  </si>
  <si>
    <t>E117</t>
  </si>
  <si>
    <t>R-290/R-170</t>
  </si>
  <si>
    <t>E118</t>
  </si>
  <si>
    <t>R-723 (DME/NH3)</t>
  </si>
  <si>
    <t>E119</t>
  </si>
  <si>
    <t>R-1234yf</t>
  </si>
  <si>
    <t>E120</t>
  </si>
  <si>
    <t>R-1234ze</t>
  </si>
  <si>
    <t>E121</t>
  </si>
  <si>
    <t>R-1336mzz(Z)</t>
  </si>
  <si>
    <t>E122</t>
  </si>
  <si>
    <t>R-846 (SF6)</t>
  </si>
  <si>
    <t>E123</t>
  </si>
  <si>
    <t>Ja</t>
  </si>
  <si>
    <t>Nein</t>
  </si>
  <si>
    <t>Status</t>
  </si>
  <si>
    <t>CO2-Einsparung</t>
  </si>
  <si>
    <t>Ziel: CO2-Einsparung ab</t>
  </si>
  <si>
    <t>direkt</t>
  </si>
  <si>
    <t>AG</t>
  </si>
  <si>
    <t>indirekt</t>
  </si>
  <si>
    <t>Klasse</t>
  </si>
  <si>
    <t>In Umsetzung (Anfang)</t>
  </si>
  <si>
    <t>direkt &amp; indirekt</t>
  </si>
  <si>
    <t>In Umsetzung (Ende)</t>
  </si>
  <si>
    <t>bisher nicht umgesetzt</t>
  </si>
  <si>
    <t>Kollegium</t>
  </si>
  <si>
    <t>Umsetzung nicht möglich</t>
  </si>
  <si>
    <t>Eltern</t>
  </si>
  <si>
    <t>Gelbe Tonne einführen</t>
  </si>
  <si>
    <t>Schülerinnen und Schüler der 9eM haben Lose verkauft, bei denen verschiedene Aktionen mit Lehrkräften als Gewinne verlost wurden. Der Erlös dieser Aktion wird vollständig für einen guten Zweck im Bereich Klimaschutz gespendet. Das Geld erhält der LBV, der unsere Schüler dafür wieder zu einer Bildungsveranstaltung begleiten wird. Durch die Spende unterstützt die Schule wirkungsvolle Klimaschutzprojekte, die CO₂ reduzieren oder binden, und stärkt gleichzeitig das Bewusstsein der Jugendlichen für solidarisches und nachhaltiges Handeln.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</si>
</sst>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164" formatCode="0\ &quot;t CO2e&quot;"/>
    <numFmt numFmtId="165" formatCode="0\ &quot;kg CO2e&quot;"/>
    <numFmt numFmtId="166" formatCode="#,##0\ &quot;kg&quot;"/>
    <numFmt numFmtId="167" formatCode="#\ ###\ ###\ &quot;kg CO2e&quot;"/>
    <numFmt numFmtId="168" formatCode="0.0000"/>
    <numFmt numFmtId="169" formatCode="0.000"/>
    <numFmt numFmtId="170" formatCode="#.000\ ###\ ###\ &quot;kg CO2e&quot;"/>
    <numFmt numFmtId="171" formatCode="#.0000\ ###\ ###\ &quot;kg CO2e&quot;"/>
    <numFmt numFmtId="172" formatCode="0.000000"/>
    <numFmt numFmtId="173" formatCode="#,##0.0"/>
    <numFmt numFmtId="174" formatCode="0.0"/>
    <numFmt numFmtId="175" formatCode="0.00000"/>
    <numFmt numFmtId="176" formatCode="0.00\ ###\ ###\ &quot;kg CO2e&quot;"/>
    <numFmt numFmtId="177" formatCode="0.0\ ###\ ###\ &quot;kg CO2e&quot;"/>
    <numFmt numFmtId="178" formatCode="0\ &quot;Blätter&quot;"/>
    <numFmt numFmtId="179" formatCode="0.00\ &quot;kg CO2e&quot;"/>
    <numFmt numFmtId="180" formatCode="0.\ ###\ ###\ &quot;kg CO2e&quot;"/>
    <numFmt numFmtId="181" formatCode="0\ &quot;Portionen&quot;"/>
    <numFmt numFmtId="182" formatCode="0.0\ &quot;kg CO2e&quot;"/>
    <numFmt numFmtId="183" formatCode="#\ ###\ ###\ &quot;Blätter&quot;"/>
    <numFmt numFmtId="184" formatCode="0.000\ &quot;kg CO2e&quot;"/>
    <numFmt numFmtId="185" formatCode="0.0000\ &quot;kg CO2e&quot;"/>
    <numFmt numFmtId="186" formatCode="0\ &quot;kWh&quot;"/>
    <numFmt numFmtId="187" formatCode="###\ ###\ ###\ &quot;kWh&quot;"/>
    <numFmt numFmtId="188" formatCode="###\ ###\ ###\ &quot;Pkm&quot;"/>
    <numFmt numFmtId="189" formatCode="#\ ###\ ##0\ &quot;kg CO2e&quot;"/>
    <numFmt numFmtId="190" formatCode="0.0\ &quot;m³&quot;"/>
    <numFmt numFmtId="191" formatCode="0.0\ &quot;t&quot;"/>
    <numFmt numFmtId="192" formatCode="0.0\ &quot;Srm&quot;"/>
    <numFmt numFmtId="193" formatCode="0.0\ &quot;Liter&quot;"/>
    <numFmt numFmtId="194" formatCode="0.000000\ &quot;kg CO2e pro kWh Nutzenergie&quot;"/>
    <numFmt numFmtId="195" formatCode="0\ &quot;kWh Strom&quot;"/>
    <numFmt numFmtId="196" formatCode="0\ &quot;kWh Wärme&quot;"/>
    <numFmt numFmtId="197" formatCode="0.0\ &quot;t CO2e&quot;"/>
  </numFmts>
  <fonts count="53" x14ac:knownFonts="1">
    <font>
      <sz val="11"/>
      <color theme="1"/>
      <name val="Calibri"/>
      <family val="2"/>
      <scheme val="minor"/>
    </font>
    <font>
      <sz val="14"/>
      <color theme="1"/>
      <name val="Calibri"/>
      <family val="2"/>
      <scheme val="minor"/>
    </font>
    <font>
      <sz val="8"/>
      <name val="Calibri"/>
      <family val="2"/>
      <scheme val="minor"/>
    </font>
    <font>
      <sz val="11"/>
      <color theme="1"/>
      <name val="Calibri"/>
      <family val="2"/>
      <scheme val="minor"/>
    </font>
    <font>
      <sz val="12"/>
      <color theme="1"/>
      <name val="Calibri"/>
      <family val="2"/>
      <scheme val="minor"/>
    </font>
    <font>
      <sz val="11"/>
      <color rgb="FF000000"/>
      <name val="Calibri"/>
      <family val="2"/>
      <scheme val="minor"/>
    </font>
    <font>
      <sz val="12"/>
      <color rgb="FF000000"/>
      <name val="Calibri"/>
      <family val="2"/>
      <scheme val="minor"/>
    </font>
    <font>
      <sz val="12"/>
      <name val="Calibri"/>
      <family val="2"/>
      <scheme val="minor"/>
    </font>
    <font>
      <b/>
      <sz val="16"/>
      <color theme="1"/>
      <name val="Calibri"/>
      <family val="2"/>
      <scheme val="minor"/>
    </font>
    <font>
      <sz val="14"/>
      <name val="Calibri"/>
      <family val="2"/>
      <scheme val="minor"/>
    </font>
    <font>
      <sz val="10"/>
      <color theme="0"/>
      <name val="Calibri"/>
      <family val="2"/>
      <scheme val="minor"/>
    </font>
    <font>
      <sz val="10"/>
      <color theme="1"/>
      <name val="Calibri"/>
      <family val="2"/>
      <scheme val="minor"/>
    </font>
    <font>
      <sz val="12"/>
      <color rgb="FFFF0000"/>
      <name val="Calibri"/>
      <family val="2"/>
      <scheme val="minor"/>
    </font>
    <font>
      <b/>
      <sz val="12"/>
      <color theme="1"/>
      <name val="Calibri"/>
      <family val="2"/>
      <scheme val="minor"/>
    </font>
    <font>
      <u/>
      <sz val="11"/>
      <color theme="10"/>
      <name val="Calibri"/>
      <family val="2"/>
      <scheme val="minor"/>
    </font>
    <font>
      <b/>
      <sz val="11"/>
      <color theme="1"/>
      <name val="Calibri"/>
      <family val="2"/>
      <scheme val="minor"/>
    </font>
    <font>
      <sz val="11"/>
      <color theme="0"/>
      <name val="Calibri"/>
      <family val="2"/>
      <scheme val="minor"/>
    </font>
    <font>
      <i/>
      <sz val="11"/>
      <color theme="0" tint="-0.499984740745262"/>
      <name val="Calibri"/>
      <family val="2"/>
      <scheme val="minor"/>
    </font>
    <font>
      <i/>
      <sz val="11"/>
      <color theme="1"/>
      <name val="Calibri"/>
      <family val="2"/>
      <scheme val="minor"/>
    </font>
    <font>
      <sz val="10"/>
      <color rgb="FF03428C"/>
      <name val="Roboto"/>
    </font>
    <font>
      <sz val="11"/>
      <name val="Calibri"/>
      <family val="2"/>
      <scheme val="minor"/>
    </font>
    <font>
      <sz val="11"/>
      <color theme="1"/>
      <name val="Calibri"/>
      <family val="2"/>
    </font>
    <font>
      <i/>
      <u/>
      <sz val="11"/>
      <color theme="0" tint="-0.499984740745262"/>
      <name val="Calibri"/>
      <family val="2"/>
      <scheme val="minor"/>
    </font>
    <font>
      <sz val="16"/>
      <color theme="1"/>
      <name val="Calibri"/>
      <family val="2"/>
      <scheme val="minor"/>
    </font>
    <font>
      <vertAlign val="subscript"/>
      <sz val="16"/>
      <color theme="1"/>
      <name val="Calibri"/>
      <family val="2"/>
      <scheme val="minor"/>
    </font>
    <font>
      <vertAlign val="subscript"/>
      <sz val="11"/>
      <color theme="1"/>
      <name val="Calibri"/>
      <family val="2"/>
      <scheme val="minor"/>
    </font>
    <font>
      <sz val="11"/>
      <color theme="1"/>
      <name val="Arial"/>
      <family val="2"/>
    </font>
    <font>
      <sz val="16"/>
      <color rgb="FF000000"/>
      <name val="Calibri"/>
      <family val="2"/>
      <scheme val="minor"/>
    </font>
    <font>
      <sz val="11"/>
      <color rgb="FFFF0000"/>
      <name val="Calibri"/>
      <family val="2"/>
      <scheme val="minor"/>
    </font>
    <font>
      <b/>
      <sz val="11"/>
      <name val="Calibri"/>
      <family val="2"/>
      <scheme val="minor"/>
    </font>
    <font>
      <b/>
      <sz val="11"/>
      <color theme="0"/>
      <name val="Calibri"/>
      <family val="2"/>
      <scheme val="minor"/>
    </font>
    <font>
      <vertAlign val="subscript"/>
      <sz val="12"/>
      <name val="Calibri"/>
      <family val="2"/>
      <scheme val="minor"/>
    </font>
    <font>
      <sz val="16"/>
      <name val="Calibri"/>
      <family val="2"/>
      <scheme val="minor"/>
    </font>
    <font>
      <vertAlign val="subscript"/>
      <sz val="16"/>
      <name val="Calibri"/>
      <family val="2"/>
      <scheme val="minor"/>
    </font>
    <font>
      <b/>
      <sz val="14"/>
      <name val="Calibri"/>
      <family val="2"/>
      <scheme val="minor"/>
    </font>
    <font>
      <b/>
      <sz val="12"/>
      <name val="Calibri"/>
      <family val="2"/>
      <scheme val="minor"/>
    </font>
    <font>
      <b/>
      <vertAlign val="subscript"/>
      <sz val="12"/>
      <name val="Calibri"/>
      <family val="2"/>
      <scheme val="minor"/>
    </font>
    <font>
      <b/>
      <sz val="22"/>
      <name val="Calibri"/>
      <family val="2"/>
      <scheme val="minor"/>
    </font>
    <font>
      <b/>
      <sz val="16"/>
      <name val="Calibri"/>
      <family val="2"/>
      <scheme val="minor"/>
    </font>
    <font>
      <b/>
      <sz val="18"/>
      <color theme="1"/>
      <name val="Calibri"/>
      <family val="2"/>
      <scheme val="minor"/>
    </font>
    <font>
      <b/>
      <sz val="20"/>
      <color theme="1"/>
      <name val="Calibri"/>
      <family val="2"/>
      <scheme val="minor"/>
    </font>
    <font>
      <b/>
      <sz val="26"/>
      <name val="Calibri"/>
      <family val="2"/>
      <scheme val="minor"/>
    </font>
    <font>
      <b/>
      <vertAlign val="subscript"/>
      <sz val="26"/>
      <name val="Calibri"/>
      <family val="2"/>
      <scheme val="minor"/>
    </font>
    <font>
      <sz val="9"/>
      <color theme="0"/>
      <name val="Calibri"/>
      <family val="2"/>
      <scheme val="minor"/>
    </font>
    <font>
      <vertAlign val="subscript"/>
      <sz val="9"/>
      <color theme="0"/>
      <name val="Calibri"/>
      <family val="2"/>
      <scheme val="minor"/>
    </font>
    <font>
      <sz val="9"/>
      <color theme="1"/>
      <name val="Calibri"/>
      <family val="2"/>
      <scheme val="minor"/>
    </font>
    <font>
      <b/>
      <sz val="9"/>
      <color theme="1"/>
      <name val="Calibri"/>
      <family val="2"/>
      <scheme val="minor"/>
    </font>
    <font>
      <sz val="9"/>
      <name val="Calibri"/>
      <family val="2"/>
      <scheme val="minor"/>
    </font>
    <font>
      <vertAlign val="subscript"/>
      <sz val="9"/>
      <name val="Calibri"/>
      <family val="2"/>
      <scheme val="minor"/>
    </font>
    <font>
      <b/>
      <sz val="9"/>
      <name val="Calibri"/>
      <family val="2"/>
      <scheme val="minor"/>
    </font>
    <font>
      <vertAlign val="subscript"/>
      <sz val="12"/>
      <color theme="1"/>
      <name val="Calibri"/>
      <family val="2"/>
      <scheme val="minor"/>
    </font>
    <font>
      <sz val="48"/>
      <color theme="1"/>
      <name val="Calibri"/>
      <family val="2"/>
      <scheme val="minor"/>
    </font>
    <font>
      <sz val="9"/>
      <color rgb="FF000000"/>
      <name val="Calibri"/>
      <family val="2"/>
      <scheme val="minor"/>
    </font>
  </fonts>
  <fills count="32">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FFFF66"/>
        <bgColor indexed="64"/>
      </patternFill>
    </fill>
    <fill>
      <patternFill patternType="solid">
        <fgColor theme="0" tint="-0.14999847407452621"/>
        <bgColor indexed="64"/>
      </patternFill>
    </fill>
    <fill>
      <patternFill patternType="solid">
        <fgColor rgb="FFFF0000"/>
        <bgColor indexed="64"/>
      </patternFill>
    </fill>
    <fill>
      <patternFill patternType="solid">
        <fgColor rgb="FF174D9F"/>
        <bgColor theme="7"/>
      </patternFill>
    </fill>
    <fill>
      <patternFill patternType="solid">
        <fgColor rgb="FF3A91CF"/>
        <bgColor theme="7"/>
      </patternFill>
    </fill>
    <fill>
      <patternFill patternType="solid">
        <fgColor rgb="FFFFEB9C"/>
        <bgColor indexed="64"/>
      </patternFill>
    </fill>
    <fill>
      <patternFill patternType="solid">
        <fgColor rgb="FFBFBFBF"/>
        <bgColor indexed="64"/>
      </patternFill>
    </fill>
    <fill>
      <patternFill patternType="solid">
        <fgColor theme="0"/>
        <bgColor indexed="64"/>
      </patternFill>
    </fill>
    <fill>
      <patternFill patternType="solid">
        <fgColor rgb="FFFFC000"/>
        <bgColor indexed="64"/>
      </patternFill>
    </fill>
    <fill>
      <patternFill patternType="solid">
        <fgColor rgb="FF6CBC44"/>
        <bgColor theme="7"/>
      </patternFill>
    </fill>
    <fill>
      <patternFill patternType="solid">
        <fgColor rgb="FFAA2120"/>
        <bgColor indexed="64"/>
      </patternFill>
    </fill>
    <fill>
      <patternFill patternType="solid">
        <fgColor rgb="FF455293"/>
        <bgColor indexed="64"/>
      </patternFill>
    </fill>
    <fill>
      <patternFill patternType="solid">
        <fgColor rgb="FF79B33D"/>
        <bgColor indexed="64"/>
      </patternFill>
    </fill>
    <fill>
      <patternFill patternType="solid">
        <fgColor rgb="FF33334D"/>
        <bgColor indexed="64"/>
      </patternFill>
    </fill>
    <fill>
      <patternFill patternType="solid">
        <fgColor rgb="FFF7BE24"/>
        <bgColor indexed="64"/>
      </patternFill>
    </fill>
    <fill>
      <patternFill patternType="solid">
        <fgColor rgb="FFDF2C2A"/>
        <bgColor indexed="64"/>
      </patternFill>
    </fill>
    <fill>
      <patternFill patternType="solid">
        <fgColor theme="4" tint="0.79998168889431442"/>
        <bgColor theme="4" tint="0.79998168889431442"/>
      </patternFill>
    </fill>
    <fill>
      <patternFill patternType="solid">
        <fgColor rgb="FF19486A"/>
        <bgColor theme="7"/>
      </patternFill>
    </fill>
    <fill>
      <patternFill patternType="solid">
        <fgColor rgb="FF5E8A43"/>
        <bgColor theme="7"/>
      </patternFill>
    </fill>
    <fill>
      <patternFill patternType="solid">
        <fgColor rgb="FF104F2D"/>
        <bgColor theme="7"/>
      </patternFill>
    </fill>
    <fill>
      <patternFill patternType="solid">
        <fgColor rgb="FFE76526"/>
        <bgColor theme="7"/>
      </patternFill>
    </fill>
    <fill>
      <patternFill patternType="solid">
        <fgColor rgb="FF33334D"/>
        <bgColor theme="7"/>
      </patternFill>
    </fill>
    <fill>
      <patternFill patternType="solid">
        <fgColor rgb="FFF7BE24"/>
        <bgColor theme="7"/>
      </patternFill>
    </fill>
    <fill>
      <patternFill patternType="solid">
        <fgColor rgb="FFDF2C2A"/>
        <bgColor theme="7"/>
      </patternFill>
    </fill>
    <fill>
      <patternFill patternType="solid">
        <fgColor rgb="FFAA2120"/>
        <bgColor theme="7"/>
      </patternFill>
    </fill>
    <fill>
      <patternFill patternType="solid">
        <fgColor rgb="FF03428D"/>
        <bgColor indexed="64"/>
      </patternFill>
    </fill>
    <fill>
      <patternFill patternType="solid">
        <fgColor theme="4" tint="0.79998168889431442"/>
        <bgColor indexed="65"/>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indexed="64"/>
      </right>
      <top/>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right/>
      <top/>
      <bottom style="thin">
        <color theme="0"/>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style="thin">
        <color theme="0"/>
      </left>
      <right style="thin">
        <color theme="0"/>
      </right>
      <top/>
      <bottom style="thin">
        <color indexed="64"/>
      </bottom>
      <diagonal/>
    </border>
    <border>
      <left style="thin">
        <color theme="4" tint="0.39997558519241921"/>
      </left>
      <right style="thin">
        <color indexed="64"/>
      </right>
      <top style="thin">
        <color theme="4" tint="0.39997558519241921"/>
      </top>
      <bottom style="thin">
        <color theme="4" tint="0.39997558519241921"/>
      </bottom>
      <diagonal/>
    </border>
    <border>
      <left style="thin">
        <color indexed="64"/>
      </left>
      <right style="thin">
        <color indexed="64"/>
      </right>
      <top style="thin">
        <color theme="0"/>
      </top>
      <bottom style="thin">
        <color indexed="64"/>
      </bottom>
      <diagonal/>
    </border>
    <border>
      <left style="thin">
        <color theme="0"/>
      </left>
      <right style="thin">
        <color theme="0"/>
      </right>
      <top/>
      <bottom/>
      <diagonal/>
    </border>
    <border>
      <left style="thin">
        <color indexed="64"/>
      </left>
      <right style="thin">
        <color indexed="64"/>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diagonal/>
    </border>
    <border>
      <left style="thin">
        <color theme="0"/>
      </left>
      <right style="thin">
        <color indexed="64"/>
      </right>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theme="0"/>
      </right>
      <top style="thin">
        <color theme="0"/>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theme="0"/>
      </top>
      <bottom style="thin">
        <color theme="0"/>
      </bottom>
      <diagonal/>
    </border>
    <border>
      <left style="thin">
        <color theme="0"/>
      </left>
      <right/>
      <top style="thin">
        <color theme="0"/>
      </top>
      <bottom/>
      <diagonal/>
    </border>
    <border>
      <left style="thin">
        <color rgb="FF000000"/>
      </left>
      <right style="thin">
        <color rgb="FF000000"/>
      </right>
      <top style="thin">
        <color rgb="FF000000"/>
      </top>
      <bottom/>
      <diagonal/>
    </border>
    <border>
      <left style="thin">
        <color indexed="64"/>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s>
  <cellStyleXfs count="4">
    <xf numFmtId="0" fontId="0" fillId="0" borderId="0"/>
    <xf numFmtId="9" fontId="3" fillId="0" borderId="0" applyFont="0" applyFill="0" applyBorder="0" applyAlignment="0" applyProtection="0"/>
    <xf numFmtId="0" fontId="14" fillId="0" borderId="0" applyNumberFormat="0" applyFill="0" applyBorder="0" applyAlignment="0" applyProtection="0"/>
    <xf numFmtId="0" fontId="3" fillId="30" borderId="0" applyNumberFormat="0" applyBorder="0" applyAlignment="0" applyProtection="0"/>
  </cellStyleXfs>
  <cellXfs count="367">
    <xf numFmtId="0" fontId="0" fillId="0" borderId="0" xfId="0"/>
    <xf numFmtId="0" fontId="0" fillId="0" borderId="0" xfId="0" applyAlignment="1">
      <alignment horizontal="center" vertical="center"/>
    </xf>
    <xf numFmtId="0" fontId="0" fillId="3" borderId="0" xfId="0" applyFill="1"/>
    <xf numFmtId="0" fontId="0" fillId="4" borderId="0" xfId="0" applyFill="1"/>
    <xf numFmtId="0" fontId="0" fillId="5" borderId="0" xfId="0" applyFill="1"/>
    <xf numFmtId="0" fontId="0" fillId="6" borderId="0" xfId="0" applyFill="1"/>
    <xf numFmtId="0" fontId="4" fillId="0" borderId="0" xfId="0" applyFont="1"/>
    <xf numFmtId="0" fontId="0" fillId="11" borderId="0" xfId="0" applyFill="1"/>
    <xf numFmtId="0" fontId="1" fillId="0" borderId="0" xfId="0" applyFont="1" applyAlignment="1">
      <alignment horizontal="center"/>
    </xf>
    <xf numFmtId="0" fontId="1" fillId="3" borderId="0" xfId="0" applyFont="1" applyFill="1" applyAlignment="1">
      <alignment horizontal="center" vertical="center"/>
    </xf>
    <xf numFmtId="0" fontId="1" fillId="9" borderId="0" xfId="0" applyFont="1" applyFill="1" applyAlignment="1">
      <alignment horizontal="center" vertical="center"/>
    </xf>
    <xf numFmtId="0" fontId="1" fillId="10" borderId="0" xfId="0" applyFont="1" applyFill="1" applyAlignment="1">
      <alignment horizontal="center" vertical="center"/>
    </xf>
    <xf numFmtId="0" fontId="1" fillId="6" borderId="0" xfId="0" applyFont="1" applyFill="1" applyAlignment="1">
      <alignment horizontal="center" vertical="center"/>
    </xf>
    <xf numFmtId="0" fontId="0" fillId="0" borderId="0" xfId="0" applyAlignment="1">
      <alignment vertical="center"/>
    </xf>
    <xf numFmtId="0" fontId="5" fillId="0" borderId="0" xfId="0" applyFont="1" applyAlignment="1">
      <alignment vertical="center"/>
    </xf>
    <xf numFmtId="0" fontId="1" fillId="0" borderId="0" xfId="0" applyFont="1" applyAlignment="1">
      <alignment horizontal="center" vertical="center"/>
    </xf>
    <xf numFmtId="0" fontId="1" fillId="0" borderId="0" xfId="0" applyFont="1"/>
    <xf numFmtId="0" fontId="4" fillId="0" borderId="0" xfId="0" applyFont="1" applyAlignment="1">
      <alignment vertical="center"/>
    </xf>
    <xf numFmtId="0" fontId="0" fillId="0" borderId="0" xfId="0" applyProtection="1">
      <protection locked="0"/>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center" wrapText="1"/>
    </xf>
    <xf numFmtId="0" fontId="0" fillId="0" borderId="0" xfId="0" applyAlignment="1" applyProtection="1">
      <alignment vertical="center" wrapText="1"/>
      <protection locked="0"/>
    </xf>
    <xf numFmtId="9" fontId="0" fillId="0" borderId="0" xfId="0" applyNumberFormat="1" applyAlignment="1">
      <alignment horizontal="center" vertical="center"/>
    </xf>
    <xf numFmtId="0" fontId="0" fillId="0" borderId="0" xfId="0" applyAlignment="1">
      <alignment wrapText="1"/>
    </xf>
    <xf numFmtId="168" fontId="0" fillId="12" borderId="0" xfId="0" applyNumberFormat="1" applyFill="1"/>
    <xf numFmtId="169" fontId="0" fillId="12" borderId="0" xfId="0" applyNumberFormat="1" applyFill="1"/>
    <xf numFmtId="171" fontId="0" fillId="0" borderId="0" xfId="0" applyNumberFormat="1"/>
    <xf numFmtId="170" fontId="0" fillId="0" borderId="0" xfId="0" applyNumberFormat="1"/>
    <xf numFmtId="9" fontId="0" fillId="0" borderId="0" xfId="0" applyNumberFormat="1" applyAlignment="1" applyProtection="1">
      <alignment horizontal="center" vertical="center"/>
      <protection locked="0"/>
    </xf>
    <xf numFmtId="172" fontId="0" fillId="12" borderId="0" xfId="0" applyNumberFormat="1" applyFill="1"/>
    <xf numFmtId="3" fontId="0" fillId="0" borderId="0" xfId="0" applyNumberFormat="1"/>
    <xf numFmtId="173" fontId="0" fillId="0" borderId="0" xfId="0" applyNumberFormat="1"/>
    <xf numFmtId="168" fontId="0" fillId="0" borderId="0" xfId="0" applyNumberFormat="1"/>
    <xf numFmtId="0" fontId="14" fillId="0" borderId="0" xfId="2"/>
    <xf numFmtId="0" fontId="17" fillId="0" borderId="0" xfId="0" applyFont="1"/>
    <xf numFmtId="169" fontId="17" fillId="0" borderId="0" xfId="0" applyNumberFormat="1" applyFont="1"/>
    <xf numFmtId="0" fontId="17" fillId="0" borderId="0" xfId="0" applyFont="1" applyAlignment="1">
      <alignment wrapText="1"/>
    </xf>
    <xf numFmtId="169" fontId="0" fillId="0" borderId="0" xfId="0" applyNumberFormat="1"/>
    <xf numFmtId="0" fontId="18" fillId="0" borderId="0" xfId="0" applyFont="1" applyAlignment="1">
      <alignment wrapText="1"/>
    </xf>
    <xf numFmtId="172" fontId="17" fillId="0" borderId="0" xfId="0" applyNumberFormat="1" applyFont="1"/>
    <xf numFmtId="0" fontId="14" fillId="0" borderId="0" xfId="2" applyFill="1" applyBorder="1"/>
    <xf numFmtId="1" fontId="0" fillId="12" borderId="0" xfId="0" applyNumberFormat="1" applyFill="1"/>
    <xf numFmtId="0" fontId="19" fillId="0" borderId="0" xfId="0" applyFont="1"/>
    <xf numFmtId="2" fontId="0" fillId="0" borderId="0" xfId="0" applyNumberFormat="1"/>
    <xf numFmtId="0" fontId="20" fillId="0" borderId="0" xfId="0" applyFont="1" applyAlignment="1">
      <alignment wrapText="1"/>
    </xf>
    <xf numFmtId="1" fontId="0" fillId="0" borderId="0" xfId="0" applyNumberFormat="1"/>
    <xf numFmtId="2" fontId="0" fillId="12" borderId="0" xfId="0" applyNumberFormat="1" applyFill="1"/>
    <xf numFmtId="0" fontId="0" fillId="11" borderId="0" xfId="0" applyFill="1" applyAlignment="1">
      <alignment wrapText="1"/>
    </xf>
    <xf numFmtId="2" fontId="0" fillId="0" borderId="0" xfId="0" applyNumberFormat="1" applyAlignment="1">
      <alignment horizontal="right"/>
    </xf>
    <xf numFmtId="169" fontId="0" fillId="12" borderId="0" xfId="0" applyNumberFormat="1" applyFill="1" applyAlignment="1">
      <alignment horizontal="right"/>
    </xf>
    <xf numFmtId="168" fontId="0" fillId="0" borderId="0" xfId="0" applyNumberFormat="1" applyAlignment="1">
      <alignment horizontal="right"/>
    </xf>
    <xf numFmtId="168" fontId="17" fillId="0" borderId="0" xfId="0" applyNumberFormat="1" applyFont="1"/>
    <xf numFmtId="0" fontId="14" fillId="0" borderId="0" xfId="2" applyAlignment="1"/>
    <xf numFmtId="2" fontId="0" fillId="12" borderId="0" xfId="0" applyNumberFormat="1" applyFill="1" applyAlignment="1">
      <alignment horizontal="right"/>
    </xf>
    <xf numFmtId="174" fontId="0" fillId="0" borderId="0" xfId="0" applyNumberFormat="1"/>
    <xf numFmtId="172" fontId="0" fillId="12" borderId="0" xfId="0" applyNumberFormat="1" applyFill="1" applyAlignment="1">
      <alignment horizontal="right"/>
    </xf>
    <xf numFmtId="175" fontId="0" fillId="12" borderId="0" xfId="0" applyNumberFormat="1" applyFill="1" applyAlignment="1">
      <alignment horizontal="right"/>
    </xf>
    <xf numFmtId="0" fontId="22" fillId="0" borderId="0" xfId="2" applyFont="1" applyFill="1" applyAlignment="1">
      <alignment vertical="center"/>
    </xf>
    <xf numFmtId="0" fontId="14" fillId="0" borderId="0" xfId="2" applyFill="1" applyAlignment="1">
      <alignment vertical="center"/>
    </xf>
    <xf numFmtId="1" fontId="17" fillId="0" borderId="0" xfId="0" applyNumberFormat="1" applyFont="1"/>
    <xf numFmtId="2" fontId="17" fillId="0" borderId="0" xfId="0" applyNumberFormat="1" applyFont="1"/>
    <xf numFmtId="0" fontId="16" fillId="0" borderId="0" xfId="0" applyFont="1" applyAlignment="1">
      <alignment wrapText="1"/>
    </xf>
    <xf numFmtId="174" fontId="0" fillId="0" borderId="0" xfId="0" applyNumberFormat="1" applyAlignment="1">
      <alignment horizontal="right"/>
    </xf>
    <xf numFmtId="174" fontId="0" fillId="12" borderId="0" xfId="0" applyNumberFormat="1" applyFill="1"/>
    <xf numFmtId="1" fontId="0" fillId="0" borderId="0" xfId="0" applyNumberFormat="1" applyAlignment="1">
      <alignment horizontal="right"/>
    </xf>
    <xf numFmtId="0" fontId="15" fillId="0" borderId="0" xfId="0" applyFont="1" applyAlignment="1">
      <alignment wrapText="1"/>
    </xf>
    <xf numFmtId="0" fontId="23" fillId="0" borderId="0" xfId="0" applyFont="1"/>
    <xf numFmtId="176" fontId="0" fillId="0" borderId="0" xfId="0" applyNumberFormat="1"/>
    <xf numFmtId="177" fontId="0" fillId="0" borderId="0" xfId="0" applyNumberFormat="1"/>
    <xf numFmtId="178" fontId="0" fillId="0" borderId="0" xfId="0" applyNumberFormat="1" applyAlignment="1">
      <alignment horizontal="center" vertical="center"/>
    </xf>
    <xf numFmtId="179" fontId="0" fillId="0" borderId="0" xfId="0" applyNumberFormat="1" applyAlignment="1">
      <alignment horizontal="center" vertical="center"/>
    </xf>
    <xf numFmtId="180" fontId="0" fillId="0" borderId="0" xfId="0" applyNumberFormat="1"/>
    <xf numFmtId="181" fontId="0" fillId="0" borderId="0" xfId="0" applyNumberFormat="1" applyAlignment="1">
      <alignment horizontal="center" vertical="center"/>
    </xf>
    <xf numFmtId="0" fontId="15" fillId="0" borderId="0" xfId="0" applyFont="1" applyAlignment="1" applyProtection="1">
      <alignment vertical="center" wrapText="1"/>
      <protection locked="0"/>
    </xf>
    <xf numFmtId="0" fontId="15" fillId="0" borderId="0" xfId="0" applyFont="1" applyAlignment="1">
      <alignment vertical="center" wrapText="1"/>
    </xf>
    <xf numFmtId="0" fontId="0" fillId="0" borderId="0" xfId="0" applyAlignment="1">
      <alignment horizontal="center" vertical="center" wrapText="1"/>
    </xf>
    <xf numFmtId="0" fontId="15" fillId="0" borderId="0" xfId="0" applyFont="1"/>
    <xf numFmtId="182" fontId="0" fillId="0" borderId="0" xfId="0" applyNumberFormat="1"/>
    <xf numFmtId="179" fontId="0" fillId="0" borderId="0" xfId="0" applyNumberFormat="1"/>
    <xf numFmtId="184" fontId="0" fillId="0" borderId="0" xfId="0" applyNumberFormat="1"/>
    <xf numFmtId="179" fontId="0" fillId="6" borderId="0" xfId="0" applyNumberFormat="1" applyFill="1"/>
    <xf numFmtId="185" fontId="0" fillId="0" borderId="0" xfId="0" applyNumberFormat="1"/>
    <xf numFmtId="0" fontId="13" fillId="0" borderId="0" xfId="0" applyFont="1"/>
    <xf numFmtId="0" fontId="0" fillId="0" borderId="0" xfId="0" applyAlignment="1">
      <alignment horizontal="left" vertical="center"/>
    </xf>
    <xf numFmtId="0" fontId="5" fillId="0" borderId="0" xfId="0" applyFont="1"/>
    <xf numFmtId="0" fontId="27" fillId="0" borderId="0" xfId="0" applyFont="1" applyAlignment="1">
      <alignment horizontal="left" vertical="center"/>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0" xfId="0" applyFont="1" applyAlignment="1">
      <alignment vertical="center" wrapText="1"/>
    </xf>
    <xf numFmtId="181" fontId="11" fillId="0" borderId="0" xfId="0" applyNumberFormat="1" applyFont="1" applyAlignment="1">
      <alignment horizontal="center" vertical="center" wrapText="1"/>
    </xf>
    <xf numFmtId="181" fontId="11" fillId="0" borderId="0" xfId="0" applyNumberFormat="1" applyFont="1" applyAlignment="1">
      <alignment horizontal="center" vertical="center"/>
    </xf>
    <xf numFmtId="172" fontId="0" fillId="0" borderId="0" xfId="0" applyNumberFormat="1"/>
    <xf numFmtId="184" fontId="0" fillId="0" borderId="14" xfId="0" applyNumberFormat="1" applyBorder="1"/>
    <xf numFmtId="184" fontId="0" fillId="20" borderId="14" xfId="0" applyNumberFormat="1" applyFill="1" applyBorder="1"/>
    <xf numFmtId="194" fontId="0" fillId="0" borderId="0" xfId="0" applyNumberFormat="1"/>
    <xf numFmtId="192" fontId="11" fillId="0" borderId="0" xfId="0" applyNumberFormat="1" applyFont="1" applyAlignment="1" applyProtection="1">
      <alignment horizontal="center" vertical="center"/>
      <protection locked="0"/>
    </xf>
    <xf numFmtId="191" fontId="11" fillId="0" borderId="0" xfId="0" applyNumberFormat="1" applyFont="1" applyAlignment="1" applyProtection="1">
      <alignment horizontal="center" vertical="center"/>
      <protection locked="0"/>
    </xf>
    <xf numFmtId="190" fontId="11" fillId="0" borderId="0" xfId="0" applyNumberFormat="1" applyFont="1" applyAlignment="1" applyProtection="1">
      <alignment horizontal="center" vertical="center"/>
      <protection locked="0"/>
    </xf>
    <xf numFmtId="193" fontId="11" fillId="0" borderId="0" xfId="0" applyNumberFormat="1" applyFont="1" applyAlignment="1" applyProtection="1">
      <alignment horizontal="center" vertical="center"/>
      <protection locked="0"/>
    </xf>
    <xf numFmtId="0" fontId="28" fillId="0" borderId="0" xfId="0" applyFont="1"/>
    <xf numFmtId="0" fontId="7" fillId="0" borderId="0" xfId="0" applyFont="1"/>
    <xf numFmtId="0" fontId="29" fillId="0" borderId="0" xfId="0" applyFont="1"/>
    <xf numFmtId="0" fontId="20" fillId="0" borderId="0" xfId="0" applyFont="1"/>
    <xf numFmtId="195" fontId="11" fillId="0" borderId="0" xfId="0" applyNumberFormat="1" applyFont="1" applyAlignment="1" applyProtection="1">
      <alignment horizontal="center" vertical="center"/>
      <protection locked="0"/>
    </xf>
    <xf numFmtId="196" fontId="11" fillId="0" borderId="0" xfId="0" applyNumberFormat="1" applyFont="1" applyAlignment="1">
      <alignment horizontal="center" vertical="center"/>
    </xf>
    <xf numFmtId="188" fontId="11" fillId="0" borderId="0" xfId="0" applyNumberFormat="1" applyFont="1" applyAlignment="1">
      <alignment horizontal="center" vertical="center"/>
    </xf>
    <xf numFmtId="0" fontId="26" fillId="0" borderId="0" xfId="0" applyFont="1" applyAlignment="1">
      <alignment horizontal="left" vertical="center" indent="2"/>
    </xf>
    <xf numFmtId="0" fontId="0" fillId="0" borderId="0" xfId="0" applyAlignment="1">
      <alignment horizontal="left" wrapText="1"/>
    </xf>
    <xf numFmtId="0" fontId="4" fillId="0" borderId="0" xfId="0" applyFont="1" applyAlignment="1">
      <alignment horizontal="left" vertical="center" wrapText="1"/>
    </xf>
    <xf numFmtId="0" fontId="10" fillId="0" borderId="0" xfId="0" applyFont="1" applyAlignment="1">
      <alignment horizontal="center" vertical="center" wrapText="1"/>
    </xf>
    <xf numFmtId="166" fontId="11" fillId="0" borderId="0" xfId="0" applyNumberFormat="1" applyFont="1" applyAlignment="1" applyProtection="1">
      <alignment horizontal="center" vertical="center"/>
      <protection locked="0"/>
    </xf>
    <xf numFmtId="186" fontId="11" fillId="0" borderId="0" xfId="0" applyNumberFormat="1" applyFont="1" applyAlignment="1">
      <alignment horizontal="center" vertical="center"/>
    </xf>
    <xf numFmtId="0" fontId="4" fillId="0" borderId="0" xfId="0" applyFont="1" applyAlignment="1">
      <alignment horizontal="left" vertical="top" wrapText="1"/>
    </xf>
    <xf numFmtId="0" fontId="1" fillId="0" borderId="1" xfId="0" applyFont="1" applyBorder="1" applyAlignment="1">
      <alignment horizontal="center"/>
    </xf>
    <xf numFmtId="0" fontId="20" fillId="0" borderId="0" xfId="0" applyFont="1" applyAlignment="1">
      <alignment horizontal="center" vertical="center" wrapText="1"/>
    </xf>
    <xf numFmtId="0" fontId="32" fillId="0" borderId="0" xfId="0" applyFont="1"/>
    <xf numFmtId="0" fontId="34" fillId="0" borderId="0" xfId="0" applyFont="1"/>
    <xf numFmtId="0" fontId="35" fillId="0" borderId="0" xfId="0" applyFont="1"/>
    <xf numFmtId="0" fontId="7" fillId="0" borderId="16" xfId="0" applyFont="1" applyBorder="1" applyAlignment="1">
      <alignment horizontal="left" vertical="center" wrapText="1"/>
    </xf>
    <xf numFmtId="197" fontId="20" fillId="0" borderId="0" xfId="0" applyNumberFormat="1" applyFont="1" applyAlignment="1">
      <alignment horizontal="center" vertical="center"/>
    </xf>
    <xf numFmtId="0" fontId="7" fillId="0" borderId="0" xfId="0" applyFont="1" applyAlignment="1">
      <alignment horizontal="left" vertical="center" wrapText="1"/>
    </xf>
    <xf numFmtId="9" fontId="20" fillId="0" borderId="0" xfId="1" applyFont="1" applyFill="1" applyAlignment="1">
      <alignment horizontal="center" vertical="center"/>
    </xf>
    <xf numFmtId="0" fontId="20" fillId="0" borderId="0" xfId="0" applyFont="1" applyAlignment="1">
      <alignment vertical="center"/>
    </xf>
    <xf numFmtId="0" fontId="7" fillId="0" borderId="9" xfId="0" applyFont="1" applyBorder="1" applyAlignment="1">
      <alignment vertical="center" wrapText="1"/>
    </xf>
    <xf numFmtId="164" fontId="20" fillId="0" borderId="0" xfId="0" applyNumberFormat="1" applyFont="1" applyAlignment="1">
      <alignment horizontal="center" vertical="center"/>
    </xf>
    <xf numFmtId="0" fontId="30" fillId="29" borderId="10" xfId="0" applyFont="1" applyFill="1" applyBorder="1" applyAlignment="1">
      <alignment horizontal="center" vertical="center"/>
    </xf>
    <xf numFmtId="0" fontId="3" fillId="0" borderId="0" xfId="3" applyFill="1" applyBorder="1" applyAlignment="1">
      <alignment horizontal="left" vertical="center" wrapText="1"/>
    </xf>
    <xf numFmtId="197" fontId="3" fillId="0" borderId="0" xfId="3" applyNumberFormat="1" applyFill="1" applyAlignment="1">
      <alignment horizontal="center" vertical="center"/>
    </xf>
    <xf numFmtId="0" fontId="3" fillId="0" borderId="0" xfId="3" applyFill="1"/>
    <xf numFmtId="0" fontId="3" fillId="0" borderId="0" xfId="3" applyFill="1" applyAlignment="1">
      <alignment horizontal="left" vertical="center" wrapText="1"/>
    </xf>
    <xf numFmtId="9" fontId="3" fillId="0" borderId="0" xfId="3" applyNumberFormat="1" applyFill="1" applyAlignment="1">
      <alignment horizontal="center" vertical="center"/>
    </xf>
    <xf numFmtId="0" fontId="7" fillId="0" borderId="0" xfId="0" applyFont="1" applyAlignment="1">
      <alignment horizontal="center" vertical="center" wrapText="1"/>
    </xf>
    <xf numFmtId="0" fontId="37" fillId="0" borderId="0" xfId="0" applyFont="1"/>
    <xf numFmtId="0" fontId="20" fillId="0" borderId="0" xfId="0" applyFont="1" applyAlignment="1">
      <alignment vertical="top"/>
    </xf>
    <xf numFmtId="0" fontId="39" fillId="0" borderId="0" xfId="0" applyFont="1" applyAlignment="1">
      <alignment vertical="center"/>
    </xf>
    <xf numFmtId="0" fontId="8" fillId="0" borderId="0" xfId="0" applyFont="1" applyAlignment="1">
      <alignment vertical="center"/>
    </xf>
    <xf numFmtId="0" fontId="40" fillId="0" borderId="0" xfId="0" applyFont="1"/>
    <xf numFmtId="0" fontId="41" fillId="0" borderId="0" xfId="0" applyFont="1"/>
    <xf numFmtId="0" fontId="0" fillId="31" borderId="0" xfId="0" applyFill="1" applyAlignment="1">
      <alignment vertical="center" wrapText="1"/>
    </xf>
    <xf numFmtId="0" fontId="43" fillId="28" borderId="7" xfId="0" applyFont="1" applyFill="1" applyBorder="1" applyAlignment="1" applyProtection="1">
      <alignment horizontal="center" vertical="center" wrapText="1"/>
      <protection locked="0"/>
    </xf>
    <xf numFmtId="0" fontId="45" fillId="0" borderId="2"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1" xfId="0" applyFont="1" applyBorder="1" applyAlignment="1" applyProtection="1">
      <alignment horizontal="center" vertical="center" wrapText="1"/>
      <protection locked="0"/>
    </xf>
    <xf numFmtId="167" fontId="45" fillId="0" borderId="3" xfId="0" applyNumberFormat="1"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43" fillId="28" borderId="11" xfId="0" applyFont="1" applyFill="1" applyBorder="1" applyAlignment="1" applyProtection="1">
      <alignment horizontal="center" vertical="center" wrapText="1"/>
      <protection locked="0"/>
    </xf>
    <xf numFmtId="0" fontId="45" fillId="2" borderId="12" xfId="0" applyFont="1" applyFill="1" applyBorder="1" applyAlignment="1">
      <alignment horizontal="center" vertical="center"/>
    </xf>
    <xf numFmtId="0" fontId="45" fillId="2" borderId="6" xfId="0" applyFont="1" applyFill="1" applyBorder="1" applyAlignment="1">
      <alignment horizontal="center" vertical="center"/>
    </xf>
    <xf numFmtId="0" fontId="45" fillId="2" borderId="6" xfId="0" applyFont="1" applyFill="1" applyBorder="1" applyAlignment="1">
      <alignment vertical="center"/>
    </xf>
    <xf numFmtId="0" fontId="46" fillId="2" borderId="5" xfId="0" applyFont="1" applyFill="1" applyBorder="1" applyAlignment="1">
      <alignment horizontal="right" vertical="center"/>
    </xf>
    <xf numFmtId="166" fontId="46" fillId="2" borderId="3" xfId="0" applyNumberFormat="1" applyFont="1" applyFill="1" applyBorder="1" applyAlignment="1">
      <alignment horizontal="center" vertical="center"/>
    </xf>
    <xf numFmtId="0" fontId="45" fillId="0" borderId="3" xfId="0" applyFont="1" applyBorder="1" applyAlignment="1" applyProtection="1">
      <alignment horizontal="center" vertical="center"/>
      <protection locked="0"/>
    </xf>
    <xf numFmtId="17" fontId="45" fillId="0" borderId="1" xfId="0" applyNumberFormat="1" applyFont="1" applyBorder="1" applyAlignment="1" applyProtection="1">
      <alignment horizontal="center" vertical="center" wrapText="1"/>
      <protection locked="0"/>
    </xf>
    <xf numFmtId="0" fontId="45" fillId="2" borderId="4" xfId="0" applyFont="1" applyFill="1" applyBorder="1" applyAlignment="1">
      <alignment horizontal="center" vertical="center"/>
    </xf>
    <xf numFmtId="167" fontId="45" fillId="2" borderId="3" xfId="0" applyNumberFormat="1" applyFont="1" applyFill="1" applyBorder="1" applyAlignment="1" applyProtection="1">
      <alignment horizontal="center" vertical="center" wrapText="1"/>
      <protection locked="0"/>
    </xf>
    <xf numFmtId="0" fontId="45" fillId="2" borderId="3" xfId="0" applyFont="1" applyFill="1" applyBorder="1" applyAlignment="1" applyProtection="1">
      <alignment horizontal="center" vertical="center"/>
      <protection locked="0"/>
    </xf>
    <xf numFmtId="164" fontId="45" fillId="0" borderId="3" xfId="0" applyNumberFormat="1" applyFont="1" applyBorder="1" applyAlignment="1" applyProtection="1">
      <alignment horizontal="center" vertical="center" wrapText="1"/>
      <protection locked="0"/>
    </xf>
    <xf numFmtId="164" fontId="46" fillId="2" borderId="3" xfId="0" applyNumberFormat="1" applyFont="1" applyFill="1" applyBorder="1" applyAlignment="1">
      <alignment horizontal="center" vertical="center"/>
    </xf>
    <xf numFmtId="0" fontId="45" fillId="11" borderId="1" xfId="0" applyFont="1" applyFill="1" applyBorder="1" applyAlignment="1" applyProtection="1">
      <alignment vertical="center"/>
      <protection locked="0"/>
    </xf>
    <xf numFmtId="0" fontId="45" fillId="11" borderId="1" xfId="0" applyFont="1" applyFill="1" applyBorder="1" applyAlignment="1" applyProtection="1">
      <alignment horizontal="center" vertical="center"/>
      <protection locked="0"/>
    </xf>
    <xf numFmtId="190" fontId="45" fillId="11" borderId="1" xfId="0" applyNumberFormat="1" applyFont="1" applyFill="1" applyBorder="1" applyAlignment="1" applyProtection="1">
      <alignment horizontal="center" vertical="center"/>
      <protection locked="0"/>
    </xf>
    <xf numFmtId="9" fontId="45" fillId="11" borderId="1" xfId="0" applyNumberFormat="1" applyFont="1" applyFill="1" applyBorder="1" applyAlignment="1" applyProtection="1">
      <alignment horizontal="center" vertical="center"/>
      <protection locked="0"/>
    </xf>
    <xf numFmtId="165" fontId="45" fillId="11" borderId="1" xfId="0" applyNumberFormat="1" applyFont="1" applyFill="1" applyBorder="1" applyAlignment="1">
      <alignment horizontal="center" vertical="center"/>
    </xf>
    <xf numFmtId="0" fontId="11" fillId="0" borderId="0" xfId="0" applyFont="1" applyAlignment="1">
      <alignment horizontal="left" vertical="center" wrapText="1"/>
    </xf>
    <xf numFmtId="0" fontId="47" fillId="0" borderId="18" xfId="0" applyFont="1" applyBorder="1" applyAlignment="1">
      <alignment vertical="center" wrapText="1"/>
    </xf>
    <xf numFmtId="0" fontId="47" fillId="0" borderId="9" xfId="0" applyFont="1" applyBorder="1" applyAlignment="1">
      <alignment vertical="center" wrapText="1"/>
    </xf>
    <xf numFmtId="164" fontId="47" fillId="0" borderId="1" xfId="0" applyNumberFormat="1" applyFont="1" applyBorder="1" applyAlignment="1">
      <alignment horizontal="center" vertical="center"/>
    </xf>
    <xf numFmtId="0" fontId="45" fillId="0" borderId="1" xfId="0" applyFont="1" applyBorder="1" applyAlignment="1" applyProtection="1">
      <alignment horizontal="left" vertical="center" wrapText="1"/>
      <protection locked="0"/>
    </xf>
    <xf numFmtId="0" fontId="45" fillId="0" borderId="1" xfId="0" applyFont="1" applyBorder="1" applyAlignment="1" applyProtection="1">
      <alignment horizontal="center" vertical="center"/>
      <protection locked="0"/>
    </xf>
    <xf numFmtId="183" fontId="45" fillId="0" borderId="1" xfId="0" applyNumberFormat="1" applyFont="1" applyBorder="1" applyAlignment="1" applyProtection="1">
      <alignment horizontal="center" vertical="center"/>
      <protection locked="0"/>
    </xf>
    <xf numFmtId="9" fontId="45" fillId="0" borderId="1" xfId="0" applyNumberFormat="1" applyFont="1" applyBorder="1" applyAlignment="1" applyProtection="1">
      <alignment horizontal="center" vertical="center"/>
      <protection locked="0"/>
    </xf>
    <xf numFmtId="165" fontId="45" fillId="0" borderId="1" xfId="0" applyNumberFormat="1" applyFont="1" applyBorder="1" applyAlignment="1">
      <alignment horizontal="center" vertical="center"/>
    </xf>
    <xf numFmtId="188" fontId="45" fillId="0" borderId="1" xfId="0" applyNumberFormat="1" applyFont="1" applyBorder="1" applyAlignment="1" applyProtection="1">
      <alignment horizontal="center" vertical="center"/>
      <protection locked="0"/>
    </xf>
    <xf numFmtId="9" fontId="45" fillId="2" borderId="1" xfId="0" applyNumberFormat="1" applyFont="1" applyFill="1" applyBorder="1" applyAlignment="1">
      <alignment horizontal="center" vertical="center"/>
    </xf>
    <xf numFmtId="189" fontId="45" fillId="0" borderId="1" xfId="0" applyNumberFormat="1" applyFont="1" applyBorder="1" applyAlignment="1">
      <alignment horizontal="center" vertical="center"/>
    </xf>
    <xf numFmtId="0" fontId="45" fillId="0" borderId="3" xfId="0" applyFont="1" applyBorder="1" applyAlignment="1" applyProtection="1">
      <alignment horizontal="left" vertical="center" wrapText="1"/>
      <protection locked="0"/>
    </xf>
    <xf numFmtId="187" fontId="45" fillId="0" borderId="3" xfId="0" applyNumberFormat="1" applyFont="1" applyBorder="1" applyAlignment="1" applyProtection="1">
      <alignment horizontal="center" vertical="center"/>
      <protection locked="0"/>
    </xf>
    <xf numFmtId="9" fontId="45" fillId="2" borderId="3" xfId="0" applyNumberFormat="1" applyFont="1" applyFill="1" applyBorder="1" applyAlignment="1">
      <alignment horizontal="center" vertical="center"/>
    </xf>
    <xf numFmtId="187" fontId="45" fillId="0" borderId="1" xfId="0" applyNumberFormat="1" applyFont="1" applyBorder="1" applyAlignment="1" applyProtection="1">
      <alignment horizontal="center" vertical="center"/>
      <protection locked="0"/>
    </xf>
    <xf numFmtId="186" fontId="45" fillId="0" borderId="3" xfId="0" applyNumberFormat="1" applyFont="1" applyBorder="1" applyAlignment="1" applyProtection="1">
      <alignment horizontal="center" vertical="center" wrapText="1"/>
      <protection locked="0"/>
    </xf>
    <xf numFmtId="9" fontId="45" fillId="0" borderId="3" xfId="0" applyNumberFormat="1" applyFont="1" applyBorder="1" applyAlignment="1" applyProtection="1">
      <alignment horizontal="center" vertical="center"/>
      <protection locked="0"/>
    </xf>
    <xf numFmtId="189" fontId="45" fillId="0" borderId="3" xfId="0" applyNumberFormat="1" applyFont="1" applyBorder="1" applyAlignment="1">
      <alignment horizontal="center" vertical="center"/>
    </xf>
    <xf numFmtId="186" fontId="45" fillId="2" borderId="3" xfId="0" applyNumberFormat="1" applyFont="1" applyFill="1" applyBorder="1" applyAlignment="1">
      <alignment horizontal="center" vertical="center"/>
    </xf>
    <xf numFmtId="197" fontId="3" fillId="0" borderId="0" xfId="3" applyNumberFormat="1" applyFill="1" applyBorder="1" applyAlignment="1">
      <alignment horizontal="center" vertical="center"/>
    </xf>
    <xf numFmtId="0" fontId="43" fillId="13" borderId="11" xfId="0" applyFont="1" applyFill="1" applyBorder="1" applyAlignment="1">
      <alignment horizontal="center" vertical="center" wrapText="1"/>
    </xf>
    <xf numFmtId="0" fontId="43" fillId="22" borderId="11" xfId="0" applyFont="1" applyFill="1" applyBorder="1" applyAlignment="1">
      <alignment horizontal="center" vertical="center" wrapText="1"/>
    </xf>
    <xf numFmtId="0" fontId="43" fillId="25" borderId="11" xfId="0" applyFont="1" applyFill="1" applyBorder="1" applyAlignment="1">
      <alignment horizontal="center" vertical="center" wrapText="1"/>
    </xf>
    <xf numFmtId="0" fontId="43" fillId="26" borderId="11" xfId="0" applyFont="1" applyFill="1" applyBorder="1" applyAlignment="1">
      <alignment horizontal="center" vertical="center" wrapText="1"/>
    </xf>
    <xf numFmtId="0" fontId="43" fillId="27" borderId="11" xfId="0" applyFont="1" applyFill="1" applyBorder="1" applyAlignment="1">
      <alignment horizontal="center" vertical="center" wrapText="1"/>
    </xf>
    <xf numFmtId="0" fontId="43" fillId="21" borderId="7" xfId="0" applyFont="1" applyFill="1" applyBorder="1" applyAlignment="1">
      <alignment horizontal="center" vertical="center" wrapText="1"/>
    </xf>
    <xf numFmtId="0" fontId="43" fillId="21" borderId="11" xfId="0" applyFont="1" applyFill="1" applyBorder="1" applyAlignment="1">
      <alignment horizontal="center" vertical="center" wrapText="1"/>
    </xf>
    <xf numFmtId="0" fontId="43" fillId="23" borderId="7" xfId="0" applyFont="1" applyFill="1" applyBorder="1" applyAlignment="1">
      <alignment horizontal="center" vertical="center" wrapText="1"/>
    </xf>
    <xf numFmtId="0" fontId="4" fillId="18" borderId="1" xfId="0" applyFont="1" applyFill="1" applyBorder="1" applyAlignment="1" applyProtection="1">
      <alignment horizontal="center" vertical="center"/>
      <protection locked="0"/>
    </xf>
    <xf numFmtId="0" fontId="43" fillId="7" borderId="7" xfId="0" applyFont="1" applyFill="1" applyBorder="1" applyAlignment="1">
      <alignment horizontal="center" vertical="center" wrapText="1"/>
    </xf>
    <xf numFmtId="0" fontId="43" fillId="13" borderId="7" xfId="0" applyFont="1" applyFill="1" applyBorder="1" applyAlignment="1">
      <alignment horizontal="center" vertical="center" wrapText="1"/>
    </xf>
    <xf numFmtId="0" fontId="43" fillId="22" borderId="7" xfId="0" applyFont="1" applyFill="1" applyBorder="1" applyAlignment="1">
      <alignment horizontal="center" vertical="center" wrapText="1"/>
    </xf>
    <xf numFmtId="0" fontId="43" fillId="24" borderId="7" xfId="0" applyFont="1" applyFill="1" applyBorder="1" applyAlignment="1">
      <alignment horizontal="center" vertical="center" wrapText="1"/>
    </xf>
    <xf numFmtId="167" fontId="45" fillId="2" borderId="3" xfId="0" applyNumberFormat="1" applyFont="1" applyFill="1" applyBorder="1" applyAlignment="1">
      <alignment horizontal="center" vertical="center" wrapText="1"/>
    </xf>
    <xf numFmtId="0" fontId="45" fillId="2" borderId="3" xfId="0" applyFont="1" applyFill="1" applyBorder="1" applyAlignment="1">
      <alignment horizontal="center" vertical="center"/>
    </xf>
    <xf numFmtId="0" fontId="43" fillId="25" borderId="7" xfId="0" applyFont="1" applyFill="1" applyBorder="1" applyAlignment="1">
      <alignment horizontal="center" vertical="center" wrapText="1"/>
    </xf>
    <xf numFmtId="0" fontId="43" fillId="26" borderId="7" xfId="0" applyFont="1" applyFill="1" applyBorder="1" applyAlignment="1">
      <alignment horizontal="center" vertical="center" wrapText="1"/>
    </xf>
    <xf numFmtId="0" fontId="43" fillId="27" borderId="7" xfId="0" applyFont="1" applyFill="1" applyBorder="1" applyAlignment="1">
      <alignment horizontal="center" vertical="center" wrapText="1"/>
    </xf>
    <xf numFmtId="0" fontId="45" fillId="0" borderId="24" xfId="0" applyFont="1" applyBorder="1" applyAlignment="1" applyProtection="1">
      <alignment horizontal="center" vertical="center" wrapText="1"/>
      <protection locked="0"/>
    </xf>
    <xf numFmtId="0" fontId="43" fillId="8" borderId="28" xfId="0" applyFont="1" applyFill="1" applyBorder="1" applyAlignment="1">
      <alignment horizontal="center" vertical="center" wrapText="1"/>
    </xf>
    <xf numFmtId="0" fontId="43" fillId="8" borderId="29" xfId="0" applyFont="1" applyFill="1" applyBorder="1" applyAlignment="1">
      <alignment horizontal="center" vertical="center" wrapText="1"/>
    </xf>
    <xf numFmtId="0" fontId="43" fillId="8" borderId="19" xfId="0" applyFont="1" applyFill="1" applyBorder="1" applyAlignment="1">
      <alignment horizontal="center" vertical="center" wrapText="1"/>
    </xf>
    <xf numFmtId="164" fontId="47" fillId="0" borderId="1" xfId="0" applyNumberFormat="1" applyFont="1" applyBorder="1" applyAlignment="1" applyProtection="1">
      <alignment horizontal="center" vertical="center"/>
      <protection locked="0"/>
    </xf>
    <xf numFmtId="0" fontId="52" fillId="0" borderId="5" xfId="0" applyFont="1" applyBorder="1" applyAlignment="1" applyProtection="1">
      <alignment horizontal="center" vertical="center" wrapText="1"/>
      <protection locked="0"/>
    </xf>
    <xf numFmtId="0" fontId="52" fillId="0" borderId="1" xfId="0" applyFont="1" applyBorder="1" applyAlignment="1" applyProtection="1">
      <alignment horizontal="center" vertical="center" wrapText="1"/>
      <protection locked="0"/>
    </xf>
    <xf numFmtId="0" fontId="52" fillId="0" borderId="0" xfId="0" applyFont="1" applyAlignment="1" applyProtection="1">
      <alignment horizontal="center" vertical="center" wrapText="1"/>
      <protection locked="0"/>
    </xf>
    <xf numFmtId="0" fontId="52" fillId="0" borderId="3" xfId="0" applyFont="1" applyBorder="1" applyAlignment="1" applyProtection="1">
      <alignment horizontal="center" vertical="center" wrapText="1"/>
      <protection locked="0"/>
    </xf>
    <xf numFmtId="17" fontId="45" fillId="0" borderId="19" xfId="0" applyNumberFormat="1" applyFont="1" applyBorder="1" applyAlignment="1" applyProtection="1">
      <alignment horizontal="center" vertical="center" wrapText="1"/>
      <protection locked="0"/>
    </xf>
    <xf numFmtId="17" fontId="45" fillId="0" borderId="3" xfId="0" applyNumberFormat="1" applyFont="1" applyBorder="1" applyAlignment="1" applyProtection="1">
      <alignment horizontal="center" vertical="center" wrapText="1"/>
      <protection locked="0"/>
    </xf>
    <xf numFmtId="9" fontId="0" fillId="0" borderId="1" xfId="0" applyNumberFormat="1" applyBorder="1" applyAlignment="1" applyProtection="1">
      <alignment horizontal="center" vertical="center"/>
      <protection locked="0"/>
    </xf>
    <xf numFmtId="0" fontId="45" fillId="0" borderId="31" xfId="0" applyFont="1" applyBorder="1" applyAlignment="1" applyProtection="1">
      <alignment horizontal="center" vertical="center" wrapText="1"/>
      <protection locked="0"/>
    </xf>
    <xf numFmtId="0" fontId="45" fillId="0" borderId="21" xfId="0" applyFont="1" applyBorder="1" applyAlignment="1" applyProtection="1">
      <alignment horizontal="center" vertical="center" wrapText="1"/>
      <protection locked="0"/>
    </xf>
    <xf numFmtId="17" fontId="45" fillId="0" borderId="21" xfId="0" applyNumberFormat="1" applyFont="1" applyBorder="1" applyAlignment="1" applyProtection="1">
      <alignment horizontal="center" vertical="center" wrapText="1"/>
      <protection locked="0"/>
    </xf>
    <xf numFmtId="0" fontId="45" fillId="0" borderId="32" xfId="0" applyFont="1" applyBorder="1" applyAlignment="1" applyProtection="1">
      <alignment horizontal="center" vertical="center" wrapText="1"/>
      <protection locked="0"/>
    </xf>
    <xf numFmtId="0" fontId="45" fillId="2" borderId="10" xfId="0" applyFont="1" applyFill="1" applyBorder="1" applyAlignment="1">
      <alignment horizontal="center" vertical="center"/>
    </xf>
    <xf numFmtId="0" fontId="45" fillId="2" borderId="10" xfId="0" applyFont="1" applyFill="1" applyBorder="1" applyAlignment="1">
      <alignment vertical="center"/>
    </xf>
    <xf numFmtId="0" fontId="46" fillId="2" borderId="2" xfId="0" applyFont="1" applyFill="1" applyBorder="1" applyAlignment="1">
      <alignment horizontal="right" vertical="center"/>
    </xf>
    <xf numFmtId="0" fontId="45" fillId="0" borderId="33" xfId="0" applyFont="1" applyBorder="1" applyAlignment="1" applyProtection="1">
      <alignment horizontal="center" vertical="center" wrapText="1"/>
      <protection locked="0"/>
    </xf>
    <xf numFmtId="0" fontId="43" fillId="8" borderId="34" xfId="0" applyFont="1" applyFill="1" applyBorder="1" applyAlignment="1">
      <alignment horizontal="center" vertical="center" wrapText="1"/>
    </xf>
    <xf numFmtId="164" fontId="45" fillId="0" borderId="2" xfId="0" applyNumberFormat="1" applyFont="1" applyBorder="1" applyAlignment="1" applyProtection="1">
      <alignment horizontal="center" vertical="center" wrapText="1"/>
      <protection locked="0"/>
    </xf>
    <xf numFmtId="0" fontId="0" fillId="0" borderId="33" xfId="0" applyBorder="1" applyProtection="1">
      <protection locked="0"/>
    </xf>
    <xf numFmtId="0" fontId="43" fillId="28" borderId="0" xfId="0" applyFont="1" applyFill="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17" fontId="45" fillId="0" borderId="0" xfId="0" applyNumberFormat="1" applyFont="1" applyAlignment="1" applyProtection="1">
      <alignment horizontal="center" vertical="center" wrapText="1"/>
      <protection locked="0"/>
    </xf>
    <xf numFmtId="167" fontId="45" fillId="0" borderId="0" xfId="0" applyNumberFormat="1" applyFont="1" applyAlignment="1" applyProtection="1">
      <alignment horizontal="center" vertical="center" wrapText="1"/>
      <protection locked="0"/>
    </xf>
    <xf numFmtId="0" fontId="45" fillId="0" borderId="0" xfId="0" applyFont="1" applyAlignment="1" applyProtection="1">
      <alignment horizontal="center" vertical="center"/>
      <protection locked="0"/>
    </xf>
    <xf numFmtId="0" fontId="45" fillId="11" borderId="0" xfId="0" applyFont="1" applyFill="1" applyAlignment="1" applyProtection="1">
      <alignment vertical="center"/>
      <protection locked="0"/>
    </xf>
    <xf numFmtId="0" fontId="45" fillId="11" borderId="0" xfId="0" applyFont="1" applyFill="1" applyAlignment="1" applyProtection="1">
      <alignment horizontal="center" vertical="center"/>
      <protection locked="0"/>
    </xf>
    <xf numFmtId="9" fontId="45" fillId="11" borderId="0" xfId="0" applyNumberFormat="1" applyFont="1" applyFill="1" applyAlignment="1" applyProtection="1">
      <alignment horizontal="center" vertical="center"/>
      <protection locked="0"/>
    </xf>
    <xf numFmtId="165" fontId="45" fillId="11" borderId="0" xfId="0" applyNumberFormat="1" applyFont="1" applyFill="1" applyAlignment="1">
      <alignment horizontal="center" vertical="center"/>
    </xf>
    <xf numFmtId="167" fontId="45" fillId="0" borderId="32" xfId="0" applyNumberFormat="1" applyFont="1" applyBorder="1" applyAlignment="1" applyProtection="1">
      <alignment horizontal="center" vertical="center" wrapText="1"/>
      <protection locked="0"/>
    </xf>
    <xf numFmtId="0" fontId="45" fillId="0" borderId="32" xfId="0" applyFont="1" applyBorder="1" applyAlignment="1" applyProtection="1">
      <alignment horizontal="center" vertical="center"/>
      <protection locked="0"/>
    </xf>
    <xf numFmtId="0" fontId="52" fillId="0" borderId="33" xfId="0" applyFont="1" applyBorder="1" applyAlignment="1" applyProtection="1">
      <alignment horizontal="center" vertical="center" wrapText="1"/>
      <protection locked="0"/>
    </xf>
    <xf numFmtId="17" fontId="45" fillId="0" borderId="33" xfId="0" applyNumberFormat="1" applyFont="1" applyBorder="1" applyAlignment="1" applyProtection="1">
      <alignment horizontal="center" vertical="center" wrapText="1"/>
      <protection locked="0"/>
    </xf>
    <xf numFmtId="167" fontId="45" fillId="0" borderId="33" xfId="0" applyNumberFormat="1" applyFont="1" applyBorder="1" applyAlignment="1" applyProtection="1">
      <alignment horizontal="center" vertical="center" wrapText="1"/>
      <protection locked="0"/>
    </xf>
    <xf numFmtId="0" fontId="45" fillId="0" borderId="33" xfId="0" applyFont="1" applyBorder="1" applyAlignment="1" applyProtection="1">
      <alignment horizontal="center" vertical="center"/>
      <protection locked="0"/>
    </xf>
    <xf numFmtId="167" fontId="45" fillId="2" borderId="32" xfId="0" applyNumberFormat="1" applyFont="1" applyFill="1" applyBorder="1" applyAlignment="1">
      <alignment horizontal="center" vertical="center" wrapText="1"/>
    </xf>
    <xf numFmtId="0" fontId="43" fillId="25" borderId="0" xfId="0" applyFont="1" applyFill="1" applyAlignment="1">
      <alignment horizontal="center" vertical="center" wrapText="1"/>
    </xf>
    <xf numFmtId="0" fontId="45" fillId="0" borderId="0" xfId="0" applyFont="1" applyAlignment="1" applyProtection="1">
      <alignment horizontal="left" vertical="center" wrapText="1"/>
      <protection locked="0"/>
    </xf>
    <xf numFmtId="188" fontId="45" fillId="0" borderId="0" xfId="0" applyNumberFormat="1" applyFont="1" applyAlignment="1" applyProtection="1">
      <alignment horizontal="center" vertical="center"/>
      <protection locked="0"/>
    </xf>
    <xf numFmtId="189" fontId="45" fillId="0" borderId="0" xfId="0" applyNumberFormat="1" applyFont="1" applyAlignment="1">
      <alignment horizontal="center" vertical="center"/>
    </xf>
    <xf numFmtId="0" fontId="43" fillId="25" borderId="35" xfId="0" applyFont="1" applyFill="1" applyBorder="1" applyAlignment="1">
      <alignment horizontal="center" vertical="center" wrapText="1"/>
    </xf>
    <xf numFmtId="0" fontId="45" fillId="0" borderId="36" xfId="0" applyFont="1" applyBorder="1" applyAlignment="1" applyProtection="1">
      <alignment horizontal="center" vertical="center" wrapText="1"/>
      <protection locked="0"/>
    </xf>
    <xf numFmtId="17" fontId="45" fillId="0" borderId="36" xfId="0" applyNumberFormat="1" applyFont="1" applyBorder="1" applyAlignment="1" applyProtection="1">
      <alignment horizontal="center" vertical="center" wrapText="1"/>
      <protection locked="0"/>
    </xf>
    <xf numFmtId="167" fontId="45" fillId="0" borderId="36" xfId="0" applyNumberFormat="1" applyFont="1" applyBorder="1" applyAlignment="1" applyProtection="1">
      <alignment horizontal="center" vertical="center" wrapText="1"/>
      <protection locked="0"/>
    </xf>
    <xf numFmtId="0" fontId="45" fillId="0" borderId="36" xfId="0" applyFont="1" applyBorder="1" applyAlignment="1" applyProtection="1">
      <alignment horizontal="center" vertical="center"/>
      <protection locked="0"/>
    </xf>
    <xf numFmtId="187" fontId="45" fillId="0" borderId="0" xfId="0" applyNumberFormat="1" applyFont="1" applyAlignment="1" applyProtection="1">
      <alignment horizontal="center" vertical="center"/>
      <protection locked="0"/>
    </xf>
    <xf numFmtId="9" fontId="45" fillId="0" borderId="0" xfId="0" applyNumberFormat="1" applyFont="1" applyAlignment="1" applyProtection="1">
      <alignment horizontal="center" vertical="center"/>
      <protection locked="0"/>
    </xf>
    <xf numFmtId="167" fontId="45" fillId="0" borderId="2" xfId="0" applyNumberFormat="1" applyFont="1" applyBorder="1" applyAlignment="1" applyProtection="1">
      <alignment horizontal="center" vertical="center" wrapText="1"/>
      <protection locked="0"/>
    </xf>
    <xf numFmtId="0" fontId="43" fillId="26" borderId="33" xfId="0" applyFont="1" applyFill="1" applyBorder="1" applyAlignment="1">
      <alignment horizontal="center" vertical="center" wrapText="1"/>
    </xf>
    <xf numFmtId="0" fontId="43" fillId="27" borderId="0" xfId="0" applyFont="1" applyFill="1" applyAlignment="1">
      <alignment horizontal="center" vertical="center" wrapText="1"/>
    </xf>
    <xf numFmtId="0" fontId="45" fillId="0" borderId="2" xfId="0" applyFont="1" applyBorder="1" applyAlignment="1" applyProtection="1">
      <alignment horizontal="center" vertical="center"/>
      <protection locked="0"/>
    </xf>
    <xf numFmtId="0" fontId="45" fillId="2" borderId="2" xfId="0" applyFont="1" applyFill="1" applyBorder="1" applyAlignment="1">
      <alignment horizontal="center" vertical="center"/>
    </xf>
    <xf numFmtId="0" fontId="43" fillId="24" borderId="35" xfId="0" applyFont="1" applyFill="1" applyBorder="1" applyAlignment="1">
      <alignment horizontal="center" vertical="center" wrapText="1"/>
    </xf>
    <xf numFmtId="0" fontId="43" fillId="24" borderId="33" xfId="0" applyFont="1" applyFill="1" applyBorder="1" applyAlignment="1">
      <alignment horizontal="center" vertical="center" wrapText="1"/>
    </xf>
    <xf numFmtId="0" fontId="45" fillId="0" borderId="37" xfId="0" applyFont="1" applyBorder="1" applyAlignment="1" applyProtection="1">
      <alignment horizontal="center" vertical="center" wrapText="1"/>
      <protection locked="0"/>
    </xf>
    <xf numFmtId="0" fontId="45" fillId="0" borderId="38" xfId="0" applyFont="1" applyBorder="1" applyAlignment="1" applyProtection="1">
      <alignment horizontal="center" vertical="center" wrapText="1"/>
      <protection locked="0"/>
    </xf>
    <xf numFmtId="0" fontId="45" fillId="0" borderId="39" xfId="0" applyFont="1" applyBorder="1" applyAlignment="1" applyProtection="1">
      <alignment horizontal="center" vertical="center" wrapText="1"/>
      <protection locked="0"/>
    </xf>
    <xf numFmtId="167" fontId="45" fillId="2" borderId="33" xfId="0" applyNumberFormat="1" applyFont="1" applyFill="1" applyBorder="1" applyAlignment="1">
      <alignment horizontal="center" vertical="center" wrapText="1"/>
    </xf>
    <xf numFmtId="0" fontId="43" fillId="21" borderId="33" xfId="0" applyFont="1" applyFill="1" applyBorder="1" applyAlignment="1">
      <alignment horizontal="center" vertical="center" wrapText="1"/>
    </xf>
    <xf numFmtId="167" fontId="45" fillId="0" borderId="1" xfId="0" applyNumberFormat="1" applyFont="1" applyBorder="1" applyAlignment="1" applyProtection="1">
      <alignment horizontal="center" vertical="center" wrapText="1"/>
      <protection locked="0"/>
    </xf>
    <xf numFmtId="167" fontId="0" fillId="0" borderId="1" xfId="0" applyNumberFormat="1" applyBorder="1"/>
    <xf numFmtId="0" fontId="46" fillId="0" borderId="1" xfId="0" applyFont="1" applyBorder="1" applyAlignment="1" applyProtection="1">
      <alignment horizontal="center" vertical="center" wrapText="1"/>
      <protection locked="0"/>
    </xf>
    <xf numFmtId="0" fontId="43" fillId="26" borderId="0" xfId="0" applyFont="1" applyFill="1" applyAlignment="1">
      <alignment horizontal="center" vertical="center" wrapText="1"/>
    </xf>
    <xf numFmtId="0" fontId="45" fillId="0" borderId="40" xfId="0" applyFont="1" applyBorder="1" applyAlignment="1" applyProtection="1">
      <alignment horizontal="center" vertical="center" wrapText="1"/>
      <protection locked="0"/>
    </xf>
    <xf numFmtId="17" fontId="45" fillId="0" borderId="40" xfId="0" applyNumberFormat="1" applyFont="1" applyBorder="1" applyAlignment="1" applyProtection="1">
      <alignment horizontal="center" vertical="center" wrapText="1"/>
      <protection locked="0"/>
    </xf>
    <xf numFmtId="0" fontId="43" fillId="24" borderId="0" xfId="0" applyFont="1" applyFill="1" applyAlignment="1">
      <alignment horizontal="center" vertical="center" wrapText="1"/>
    </xf>
    <xf numFmtId="17" fontId="45" fillId="0" borderId="41" xfId="0" applyNumberFormat="1" applyFont="1" applyBorder="1" applyAlignment="1" applyProtection="1">
      <alignment horizontal="center" vertical="center" wrapText="1"/>
      <protection locked="0"/>
    </xf>
    <xf numFmtId="0" fontId="5" fillId="0" borderId="13" xfId="0" applyFont="1" applyBorder="1" applyAlignment="1">
      <alignment horizontal="left" vertical="top" wrapText="1"/>
    </xf>
    <xf numFmtId="0" fontId="43" fillId="28" borderId="11" xfId="0" applyFont="1" applyFill="1" applyBorder="1" applyAlignment="1">
      <alignment horizontal="center" vertical="center" wrapText="1"/>
    </xf>
    <xf numFmtId="0" fontId="43" fillId="28" borderId="8" xfId="0" applyFont="1" applyFill="1" applyBorder="1" applyAlignment="1">
      <alignment horizontal="center" vertical="center" wrapText="1"/>
    </xf>
    <xf numFmtId="0" fontId="43" fillId="14" borderId="21" xfId="0" applyFont="1" applyFill="1" applyBorder="1" applyAlignment="1">
      <alignment horizontal="left" vertical="center" wrapText="1"/>
    </xf>
    <xf numFmtId="0" fontId="43" fillId="14" borderId="3" xfId="0" applyFont="1" applyFill="1" applyBorder="1" applyAlignment="1">
      <alignment horizontal="left" vertical="center" wrapText="1"/>
    </xf>
    <xf numFmtId="0" fontId="43" fillId="14" borderId="21" xfId="0" applyFont="1" applyFill="1" applyBorder="1" applyAlignment="1">
      <alignment horizontal="center" vertical="center" wrapText="1"/>
    </xf>
    <xf numFmtId="0" fontId="43" fillId="14" borderId="3" xfId="0" applyFont="1" applyFill="1" applyBorder="1" applyAlignment="1">
      <alignment horizontal="center" vertical="center" wrapText="1"/>
    </xf>
    <xf numFmtId="0" fontId="4"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9" fillId="0" borderId="12" xfId="0" applyFont="1" applyBorder="1" applyAlignment="1">
      <alignment horizontal="center" vertical="center"/>
    </xf>
    <xf numFmtId="0" fontId="9" fillId="0" borderId="5" xfId="0" applyFont="1" applyBorder="1" applyAlignment="1">
      <alignment horizontal="center" vertical="center"/>
    </xf>
    <xf numFmtId="197" fontId="34" fillId="0" borderId="12" xfId="0" applyNumberFormat="1" applyFont="1" applyBorder="1" applyAlignment="1" applyProtection="1">
      <alignment horizontal="center" vertical="center"/>
      <protection locked="0"/>
    </xf>
    <xf numFmtId="197" fontId="34" fillId="0" borderId="5" xfId="0" applyNumberFormat="1" applyFont="1" applyBorder="1" applyAlignment="1" applyProtection="1">
      <alignment horizontal="center" vertical="center"/>
      <protection locked="0"/>
    </xf>
    <xf numFmtId="0" fontId="35" fillId="0" borderId="0" xfId="0" applyFont="1" applyAlignment="1">
      <alignment horizontal="left" vertical="top" wrapText="1"/>
    </xf>
    <xf numFmtId="0" fontId="35" fillId="0" borderId="9" xfId="0" applyFont="1" applyBorder="1" applyAlignment="1">
      <alignment horizontal="left" vertical="top" wrapText="1"/>
    </xf>
    <xf numFmtId="0" fontId="43" fillId="7" borderId="7" xfId="0" applyFont="1" applyFill="1" applyBorder="1" applyAlignment="1">
      <alignment horizontal="center" vertical="center" wrapText="1"/>
    </xf>
    <xf numFmtId="0" fontId="43" fillId="15" borderId="1" xfId="0" applyFont="1" applyFill="1" applyBorder="1" applyAlignment="1">
      <alignment horizontal="center" vertical="center" wrapText="1"/>
    </xf>
    <xf numFmtId="0" fontId="43" fillId="15" borderId="1" xfId="0" applyFont="1" applyFill="1" applyBorder="1" applyAlignment="1">
      <alignment horizontal="left" vertical="center" wrapText="1"/>
    </xf>
    <xf numFmtId="0" fontId="43" fillId="15" borderId="1" xfId="0" applyFont="1" applyFill="1" applyBorder="1" applyAlignment="1">
      <alignment horizontal="center" vertical="center"/>
    </xf>
    <xf numFmtId="0" fontId="43" fillId="7" borderId="11" xfId="0" applyFont="1" applyFill="1" applyBorder="1" applyAlignment="1">
      <alignment horizontal="center" vertical="center" wrapText="1"/>
    </xf>
    <xf numFmtId="0" fontId="43" fillId="7" borderId="8" xfId="0" applyFont="1" applyFill="1" applyBorder="1" applyAlignment="1">
      <alignment horizontal="center" vertical="center" wrapText="1"/>
    </xf>
    <xf numFmtId="0" fontId="43" fillId="15" borderId="21" xfId="0" applyFont="1" applyFill="1" applyBorder="1" applyAlignment="1">
      <alignment horizontal="center" vertical="center" wrapText="1"/>
    </xf>
    <xf numFmtId="0" fontId="43" fillId="15" borderId="3" xfId="0" applyFont="1" applyFill="1" applyBorder="1" applyAlignment="1">
      <alignment horizontal="center" vertical="center" wrapText="1"/>
    </xf>
    <xf numFmtId="0" fontId="43" fillId="16" borderId="1" xfId="0" applyFont="1" applyFill="1" applyBorder="1" applyAlignment="1">
      <alignment horizontal="center" vertical="center" wrapText="1"/>
    </xf>
    <xf numFmtId="0" fontId="43" fillId="16" borderId="1" xfId="0" applyFont="1" applyFill="1" applyBorder="1" applyAlignment="1">
      <alignment horizontal="left" vertical="center" wrapText="1"/>
    </xf>
    <xf numFmtId="0" fontId="43" fillId="16" borderId="1" xfId="0" applyFont="1" applyFill="1" applyBorder="1" applyAlignment="1">
      <alignment horizontal="center" vertical="center"/>
    </xf>
    <xf numFmtId="0" fontId="43" fillId="13" borderId="11" xfId="0" applyFont="1" applyFill="1" applyBorder="1" applyAlignment="1">
      <alignment horizontal="center" vertical="center" wrapText="1"/>
    </xf>
    <xf numFmtId="0" fontId="43" fillId="13" borderId="8" xfId="0" applyFont="1" applyFill="1" applyBorder="1" applyAlignment="1">
      <alignment horizontal="center" vertical="center" wrapText="1"/>
    </xf>
    <xf numFmtId="0" fontId="43" fillId="13" borderId="20" xfId="0" applyFont="1" applyFill="1" applyBorder="1" applyAlignment="1">
      <alignment horizontal="center" vertical="center" wrapText="1"/>
    </xf>
    <xf numFmtId="0" fontId="43" fillId="22" borderId="11" xfId="0" applyFont="1" applyFill="1" applyBorder="1" applyAlignment="1">
      <alignment horizontal="center" vertical="center" wrapText="1"/>
    </xf>
    <xf numFmtId="0" fontId="43" fillId="22" borderId="8" xfId="0" applyFont="1" applyFill="1" applyBorder="1" applyAlignment="1">
      <alignment horizontal="center" vertical="center" wrapText="1"/>
    </xf>
    <xf numFmtId="0" fontId="43" fillId="24" borderId="11" xfId="0" applyFont="1" applyFill="1" applyBorder="1" applyAlignment="1">
      <alignment horizontal="center" vertical="center" wrapText="1"/>
    </xf>
    <xf numFmtId="0" fontId="43" fillId="24" borderId="8" xfId="0" applyFont="1" applyFill="1" applyBorder="1" applyAlignment="1">
      <alignment horizontal="center" vertical="center" wrapText="1"/>
    </xf>
    <xf numFmtId="0" fontId="43" fillId="18" borderId="23" xfId="0" applyFont="1" applyFill="1" applyBorder="1" applyAlignment="1">
      <alignment horizontal="center" vertical="center" wrapText="1"/>
    </xf>
    <xf numFmtId="0" fontId="43" fillId="18" borderId="23" xfId="0" applyFont="1" applyFill="1" applyBorder="1" applyAlignment="1">
      <alignment horizontal="center" vertical="center"/>
    </xf>
    <xf numFmtId="0" fontId="43" fillId="18" borderId="5" xfId="0" applyFont="1" applyFill="1" applyBorder="1" applyAlignment="1">
      <alignment horizontal="center" vertical="center" wrapText="1"/>
    </xf>
    <xf numFmtId="0" fontId="43" fillId="18" borderId="5" xfId="0" applyFont="1" applyFill="1" applyBorder="1" applyAlignment="1">
      <alignment horizontal="center" vertical="center"/>
    </xf>
    <xf numFmtId="0" fontId="43" fillId="26" borderId="11" xfId="0" applyFont="1" applyFill="1" applyBorder="1" applyAlignment="1">
      <alignment horizontal="center" vertical="center" wrapText="1"/>
    </xf>
    <xf numFmtId="0" fontId="43" fillId="26" borderId="8" xfId="0" applyFont="1" applyFill="1" applyBorder="1" applyAlignment="1">
      <alignment horizontal="center" vertical="center" wrapText="1"/>
    </xf>
    <xf numFmtId="0" fontId="43" fillId="18" borderId="12" xfId="0" applyFont="1" applyFill="1" applyBorder="1" applyAlignment="1">
      <alignment horizontal="left" vertical="center" wrapText="1"/>
    </xf>
    <xf numFmtId="0" fontId="43" fillId="18" borderId="22"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26" borderId="20" xfId="0" applyFont="1" applyFill="1" applyBorder="1" applyAlignment="1">
      <alignment horizontal="center" vertical="center" wrapText="1"/>
    </xf>
    <xf numFmtId="0" fontId="43" fillId="27" borderId="11" xfId="0" applyFont="1" applyFill="1" applyBorder="1" applyAlignment="1">
      <alignment horizontal="center" vertical="center" wrapText="1"/>
    </xf>
    <xf numFmtId="0" fontId="43" fillId="27" borderId="8" xfId="0" applyFont="1" applyFill="1" applyBorder="1" applyAlignment="1">
      <alignment horizontal="center" vertical="center" wrapText="1"/>
    </xf>
    <xf numFmtId="0" fontId="43" fillId="27" borderId="17" xfId="0" applyFont="1" applyFill="1" applyBorder="1" applyAlignment="1">
      <alignment horizontal="center" vertical="center" wrapText="1"/>
    </xf>
    <xf numFmtId="0" fontId="43" fillId="19" borderId="23" xfId="0" applyFont="1" applyFill="1" applyBorder="1" applyAlignment="1">
      <alignment horizontal="center" vertical="center" wrapText="1"/>
    </xf>
    <xf numFmtId="0" fontId="43" fillId="19" borderId="23" xfId="0" applyFont="1" applyFill="1" applyBorder="1" applyAlignment="1">
      <alignment horizontal="center" vertical="center"/>
    </xf>
    <xf numFmtId="0" fontId="43" fillId="19" borderId="5" xfId="0" applyFont="1" applyFill="1" applyBorder="1" applyAlignment="1">
      <alignment horizontal="center" vertical="center" wrapText="1"/>
    </xf>
    <xf numFmtId="0" fontId="43" fillId="19" borderId="5" xfId="0" applyFont="1" applyFill="1" applyBorder="1" applyAlignment="1">
      <alignment horizontal="center" vertical="center"/>
    </xf>
    <xf numFmtId="0" fontId="43" fillId="19" borderId="22" xfId="0" applyFont="1" applyFill="1" applyBorder="1" applyAlignment="1">
      <alignment horizontal="center" vertical="center" wrapText="1"/>
    </xf>
    <xf numFmtId="0" fontId="43" fillId="19" borderId="17" xfId="0" applyFont="1" applyFill="1" applyBorder="1" applyAlignment="1">
      <alignment horizontal="center" vertical="center" wrapText="1"/>
    </xf>
    <xf numFmtId="0" fontId="43" fillId="19" borderId="12" xfId="0" applyFont="1" applyFill="1" applyBorder="1" applyAlignment="1">
      <alignment horizontal="left" vertical="center" wrapText="1"/>
    </xf>
    <xf numFmtId="0" fontId="8" fillId="0" borderId="0" xfId="0" applyFont="1" applyAlignment="1">
      <alignment horizontal="left" vertical="center" wrapText="1"/>
    </xf>
    <xf numFmtId="0" fontId="43" fillId="25" borderId="11" xfId="0" applyFont="1" applyFill="1" applyBorder="1" applyAlignment="1">
      <alignment horizontal="center" vertical="center" wrapText="1"/>
    </xf>
    <xf numFmtId="0" fontId="43" fillId="25" borderId="8" xfId="0" applyFont="1" applyFill="1" applyBorder="1" applyAlignment="1">
      <alignment horizontal="center" vertical="center" wrapText="1"/>
    </xf>
    <xf numFmtId="0" fontId="43" fillId="17" borderId="21" xfId="0" applyFont="1" applyFill="1" applyBorder="1" applyAlignment="1">
      <alignment horizontal="center" vertical="center" wrapText="1"/>
    </xf>
    <xf numFmtId="0" fontId="43" fillId="17" borderId="3" xfId="0" applyFont="1" applyFill="1" applyBorder="1" applyAlignment="1">
      <alignment horizontal="center" vertical="center" wrapText="1"/>
    </xf>
    <xf numFmtId="0" fontId="43" fillId="17" borderId="21" xfId="0" applyFont="1" applyFill="1" applyBorder="1" applyAlignment="1">
      <alignment horizontal="left" vertical="center" wrapText="1"/>
    </xf>
    <xf numFmtId="0" fontId="43" fillId="17" borderId="3" xfId="0" applyFont="1" applyFill="1" applyBorder="1" applyAlignment="1">
      <alignment horizontal="left" vertical="center" wrapText="1"/>
    </xf>
    <xf numFmtId="0" fontId="43" fillId="21" borderId="7" xfId="0" applyFont="1" applyFill="1" applyBorder="1" applyAlignment="1">
      <alignment horizontal="center" vertical="center" wrapText="1"/>
    </xf>
    <xf numFmtId="0" fontId="43" fillId="21" borderId="11" xfId="0" applyFont="1" applyFill="1" applyBorder="1" applyAlignment="1">
      <alignment horizontal="center" vertical="center" wrapText="1"/>
    </xf>
    <xf numFmtId="0" fontId="43" fillId="21" borderId="8" xfId="0" applyFont="1" applyFill="1" applyBorder="1" applyAlignment="1">
      <alignment horizontal="center" vertical="center" wrapText="1"/>
    </xf>
    <xf numFmtId="0" fontId="43" fillId="23" borderId="7" xfId="0" applyFont="1" applyFill="1" applyBorder="1" applyAlignment="1">
      <alignment horizontal="center" vertical="center" wrapText="1"/>
    </xf>
    <xf numFmtId="0" fontId="43" fillId="23" borderId="11" xfId="0" applyFont="1" applyFill="1" applyBorder="1" applyAlignment="1">
      <alignment horizontal="center" vertical="center" wrapText="1"/>
    </xf>
    <xf numFmtId="0" fontId="43" fillId="23" borderId="8" xfId="0" applyFont="1" applyFill="1" applyBorder="1" applyAlignment="1">
      <alignment horizontal="center" vertical="center" wrapText="1"/>
    </xf>
    <xf numFmtId="0" fontId="43" fillId="8" borderId="26" xfId="0" applyFont="1" applyFill="1" applyBorder="1" applyAlignment="1">
      <alignment horizontal="center" vertical="center" wrapText="1"/>
    </xf>
    <xf numFmtId="0" fontId="43" fillId="8" borderId="27" xfId="0" applyFont="1" applyFill="1" applyBorder="1" applyAlignment="1">
      <alignment horizontal="center" vertical="center" wrapText="1"/>
    </xf>
    <xf numFmtId="0" fontId="43" fillId="8" borderId="22" xfId="0" applyFont="1" applyFill="1" applyBorder="1" applyAlignment="1">
      <alignment horizontal="center" vertical="center" wrapText="1"/>
    </xf>
    <xf numFmtId="0" fontId="43" fillId="8" borderId="17" xfId="0" applyFont="1" applyFill="1" applyBorder="1" applyAlignment="1">
      <alignment horizontal="center" vertical="center" wrapText="1"/>
    </xf>
    <xf numFmtId="0" fontId="43" fillId="8" borderId="25" xfId="0" applyFont="1" applyFill="1" applyBorder="1" applyAlignment="1">
      <alignment horizontal="center" vertical="center" wrapText="1"/>
    </xf>
    <xf numFmtId="0" fontId="43" fillId="8" borderId="30" xfId="0" applyFont="1" applyFill="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center" wrapText="1"/>
    </xf>
    <xf numFmtId="0" fontId="32" fillId="18" borderId="12" xfId="0" applyFont="1" applyFill="1" applyBorder="1" applyAlignment="1" applyProtection="1">
      <alignment horizontal="center" vertical="center"/>
      <protection locked="0"/>
    </xf>
    <xf numFmtId="0" fontId="32" fillId="18" borderId="5" xfId="0" applyFont="1" applyFill="1" applyBorder="1" applyAlignment="1" applyProtection="1">
      <alignment horizontal="center" vertical="center"/>
      <protection locked="0"/>
    </xf>
    <xf numFmtId="0" fontId="7" fillId="0" borderId="0" xfId="0" applyFont="1" applyAlignment="1">
      <alignment horizontal="left" vertical="top" wrapText="1"/>
    </xf>
    <xf numFmtId="0" fontId="7" fillId="0" borderId="9" xfId="0" applyFont="1" applyBorder="1" applyAlignment="1">
      <alignment horizontal="left" vertical="top" wrapText="1"/>
    </xf>
    <xf numFmtId="197" fontId="38" fillId="18" borderId="12" xfId="0" applyNumberFormat="1" applyFont="1" applyFill="1" applyBorder="1" applyAlignment="1" applyProtection="1">
      <alignment horizontal="center" vertical="center"/>
      <protection locked="0"/>
    </xf>
    <xf numFmtId="197" fontId="38" fillId="18" borderId="5" xfId="0" applyNumberFormat="1" applyFont="1" applyFill="1" applyBorder="1" applyAlignment="1" applyProtection="1">
      <alignment horizontal="center" vertical="center"/>
      <protection locked="0"/>
    </xf>
    <xf numFmtId="0" fontId="3" fillId="0" borderId="0" xfId="3" applyFill="1" applyAlignment="1">
      <alignment horizontal="left" vertical="center" wrapText="1"/>
    </xf>
    <xf numFmtId="0" fontId="11" fillId="30" borderId="12" xfId="3" applyFont="1" applyBorder="1" applyAlignment="1">
      <alignment horizontal="left" vertical="center" wrapText="1"/>
    </xf>
    <xf numFmtId="0" fontId="11" fillId="30" borderId="6" xfId="3" applyFont="1" applyBorder="1" applyAlignment="1">
      <alignment horizontal="left" vertical="center" wrapText="1"/>
    </xf>
    <xf numFmtId="197" fontId="1" fillId="30" borderId="12" xfId="3" applyNumberFormat="1" applyFont="1" applyBorder="1" applyAlignment="1" applyProtection="1">
      <alignment horizontal="center" vertical="center"/>
    </xf>
    <xf numFmtId="197" fontId="1" fillId="30" borderId="5" xfId="3" applyNumberFormat="1" applyFont="1" applyBorder="1" applyAlignment="1" applyProtection="1">
      <alignment horizontal="center" vertical="center"/>
    </xf>
    <xf numFmtId="164" fontId="23" fillId="30" borderId="12" xfId="3" applyNumberFormat="1" applyFont="1" applyBorder="1" applyAlignment="1" applyProtection="1">
      <alignment horizontal="center" vertical="center"/>
    </xf>
    <xf numFmtId="164" fontId="23" fillId="30" borderId="5" xfId="3" applyNumberFormat="1" applyFont="1" applyBorder="1" applyAlignment="1" applyProtection="1">
      <alignment horizontal="center" vertical="center"/>
    </xf>
    <xf numFmtId="9" fontId="23" fillId="30" borderId="12" xfId="3" applyNumberFormat="1" applyFont="1" applyBorder="1" applyAlignment="1" applyProtection="1">
      <alignment horizontal="center" vertical="center"/>
    </xf>
    <xf numFmtId="9" fontId="23" fillId="30" borderId="5" xfId="3" applyNumberFormat="1" applyFont="1" applyBorder="1" applyAlignment="1" applyProtection="1">
      <alignment horizontal="center" vertical="center"/>
    </xf>
    <xf numFmtId="0" fontId="13" fillId="0" borderId="0" xfId="0" applyFont="1" applyAlignment="1">
      <alignment horizontal="left" vertical="top" wrapText="1"/>
    </xf>
    <xf numFmtId="0" fontId="14" fillId="0" borderId="0" xfId="2" applyAlignment="1">
      <alignment horizontal="left"/>
    </xf>
    <xf numFmtId="0" fontId="51" fillId="0" borderId="0" xfId="0" applyFont="1" applyAlignment="1">
      <alignment horizontal="left" vertical="center"/>
    </xf>
  </cellXfs>
  <cellStyles count="4">
    <cellStyle name="20 % - Akzent1" xfId="3" builtinId="30"/>
    <cellStyle name="Link" xfId="2" builtinId="8"/>
    <cellStyle name="Prozent" xfId="1" builtinId="5"/>
    <cellStyle name="Standard" xfId="0" builtinId="0"/>
  </cellStyles>
  <dxfs count="189">
    <dxf>
      <fill>
        <patternFill>
          <bgColor rgb="FF92D050"/>
        </patternFill>
      </fill>
    </dxf>
    <dxf>
      <fill>
        <patternFill>
          <bgColor rgb="FF92D050"/>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numFmt numFmtId="198" formatCode="###\ ###\ ###\ &quot;Portionen&quot;"/>
    </dxf>
    <dxf>
      <numFmt numFmtId="198" formatCode="###\ ###\ ###\ &quot;Portionen&quot;"/>
    </dxf>
    <dxf>
      <numFmt numFmtId="198" formatCode="###\ ###\ ###\ &quot;Portionen&quot;"/>
    </dxf>
    <dxf>
      <numFmt numFmtId="199" formatCode="###\ ###\ &quot;Brötchen&quot;"/>
    </dxf>
    <dxf>
      <numFmt numFmtId="199" formatCode="###\ ###\ &quot;Brötchen&quot;"/>
    </dxf>
    <dxf>
      <numFmt numFmtId="199" formatCode="###\ ###\ &quot;Brötchen&quot;"/>
    </dxf>
    <dxf>
      <numFmt numFmtId="200" formatCode="###\ ###\ &quot;Stück&quot;"/>
    </dxf>
    <dxf>
      <numFmt numFmtId="201" formatCode="#\ ###\ ###\ &quot;kg&quot;"/>
    </dxf>
    <dxf>
      <numFmt numFmtId="202" formatCode="###\ ###\ ###\ &quot;Liter&quot;"/>
    </dxf>
    <dxf>
      <numFmt numFmtId="202" formatCode="###\ ###\ ###\ &quot;Liter&quot;"/>
    </dxf>
    <dxf>
      <numFmt numFmtId="202" formatCode="###\ ###\ ###\ &quot;Liter&quot;"/>
    </dxf>
    <dxf>
      <numFmt numFmtId="202" formatCode="###\ ###\ ###\ &quot;Liter&quot;"/>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numFmt numFmtId="190" formatCode="0.0\ &quot;m³&quot;"/>
    </dxf>
    <dxf>
      <numFmt numFmtId="191" formatCode="0.0\ &quot;t&quot;"/>
    </dxf>
    <dxf>
      <numFmt numFmtId="203" formatCode="\ 0.0\ &quot;m³&quot;"/>
    </dxf>
    <dxf>
      <numFmt numFmtId="191" formatCode="0.0\ &quot;t&quot;"/>
    </dxf>
    <dxf>
      <numFmt numFmtId="183" formatCode="#\ ###\ ###\ &quot;Blätter&quot;"/>
    </dxf>
    <dxf>
      <numFmt numFmtId="183" formatCode="#\ ###\ ###\ &quot;Blätter&quot;"/>
    </dxf>
    <dxf>
      <numFmt numFmtId="183" formatCode="#\ ###\ ###\ &quot;Blätter&quot;"/>
    </dxf>
    <dxf>
      <numFmt numFmtId="183" formatCode="#\ ###\ ###\ &quot;Blätter&quot;"/>
    </dxf>
    <dxf>
      <numFmt numFmtId="183" formatCode="#\ ###\ ###\ &quot;Blätter&quot;"/>
    </dxf>
    <dxf>
      <numFmt numFmtId="204" formatCode="###\ ###\ ###\ &quot;Normalrollen&quot;"/>
    </dxf>
    <dxf>
      <numFmt numFmtId="204" formatCode="###\ ###\ ###\ &quot;Normalrollen&quot;"/>
    </dxf>
    <dxf>
      <numFmt numFmtId="204" formatCode="###\ ###\ ###\ &quot;Normalrollen&quot;"/>
    </dxf>
    <dxf>
      <numFmt numFmtId="205" formatCode="###\ ###\ ###\ &quot;Jumborollen&quot;"/>
    </dxf>
    <dxf>
      <numFmt numFmtId="205" formatCode="###\ ###\ ###\ &quot;Jumborollen&quot;"/>
    </dxf>
    <dxf>
      <numFmt numFmtId="205" formatCode="###\ ###\ ###\ &quot;Jumborollen&quot;"/>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numFmt numFmtId="190" formatCode="0.0\ &quot;m³&quot;"/>
    </dxf>
    <dxf>
      <numFmt numFmtId="191" formatCode="0.0\ &quot;t&quot;"/>
    </dxf>
    <dxf>
      <numFmt numFmtId="203" formatCode="\ 0.0\ &quot;m³&quot;"/>
    </dxf>
    <dxf>
      <numFmt numFmtId="191" formatCode="0.0\ &quot;t&quot;"/>
    </dxf>
    <dxf>
      <font>
        <color rgb="FF9C0006"/>
      </font>
      <fill>
        <patternFill>
          <bgColor rgb="FFFFC7CE"/>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0" tint="-0.24994659260841701"/>
        </patternFill>
      </fill>
    </dxf>
    <dxf>
      <fill>
        <patternFill>
          <bgColor rgb="FFFF0000"/>
        </patternFill>
      </fill>
    </dxf>
    <dxf>
      <fill>
        <patternFill>
          <bgColor rgb="FFFF0000"/>
        </patternFill>
      </fill>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vertAlign val="baseline"/>
        <sz val="9"/>
        <color auto="1"/>
        <name val="Calibri"/>
        <family val="2"/>
        <scheme val="minor"/>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0" formatCode="General"/>
      <alignment horizontal="center" vertical="center" textRotation="0" wrapText="0" indent="0" justifyLastLine="0" shrinkToFit="0" readingOrder="0"/>
    </dxf>
    <dxf>
      <font>
        <strike val="0"/>
        <outline val="0"/>
        <shadow val="0"/>
        <u val="none"/>
        <sz val="9"/>
        <color auto="1"/>
        <name val="Calibri"/>
        <family val="2"/>
        <scheme val="minor"/>
      </font>
      <fill>
        <patternFill patternType="none">
          <bgColor auto="1"/>
        </patternFill>
      </fill>
      <alignment horizontal="general" vertical="center" textRotation="0" wrapText="0" indent="0" justifyLastLine="0" shrinkToFit="0" readingOrder="0"/>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strike val="0"/>
        <outline val="0"/>
        <shadow val="0"/>
        <u val="none"/>
        <sz val="12"/>
        <color auto="1"/>
        <name val="Calibri"/>
        <family val="2"/>
        <scheme val="minor"/>
      </font>
      <fill>
        <patternFill patternType="none">
          <bgColor auto="1"/>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theme="1"/>
        <name val="Calibri"/>
        <family val="2"/>
        <scheme val="minor"/>
      </font>
      <numFmt numFmtId="195" formatCode="0\ &quot;kWh Strom&quot;"/>
      <alignment horizontal="center" vertical="center" textRotation="0" wrapText="0" indent="0" justifyLastLine="0" shrinkToFit="0" readingOrder="0"/>
      <protection locked="1" hidden="0"/>
    </dxf>
    <dxf>
      <font>
        <strike val="0"/>
        <outline val="0"/>
        <shadow val="0"/>
        <u val="none"/>
        <vertAlign val="baseline"/>
        <sz val="10"/>
        <color theme="1"/>
        <name val="Calibri"/>
        <family val="2"/>
        <scheme val="minor"/>
      </font>
      <numFmt numFmtId="190" formatCode="0.0\ &quot;m³&quo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right/>
        <top style="thin">
          <color theme="4" tint="0.39997558519241921"/>
        </top>
        <bottom style="thin">
          <color theme="4" tint="0.39997558519241921"/>
        </bottom>
      </border>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alignment horizontal="general" vertical="center" textRotation="0" wrapText="1"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numFmt numFmtId="164" formatCode="0\ &quot;t CO2e&quo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u val="none"/>
        <color auto="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center" vertical="center" textRotation="0" wrapText="0" indent="0" justifyLastLine="0" shrinkToFit="0" readingOrder="0"/>
    </dxf>
    <dxf>
      <font>
        <strike val="0"/>
        <outline val="0"/>
        <shadow val="0"/>
        <u val="none"/>
        <sz val="12"/>
        <color auto="1"/>
        <name val="Calibri"/>
        <family val="2"/>
        <scheme val="minor"/>
      </font>
      <fill>
        <patternFill patternType="none">
          <bgColor auto="1"/>
        </patternFill>
      </fill>
      <alignment horizontal="general"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strike val="0"/>
        <outline val="0"/>
        <shadow val="0"/>
        <u val="none"/>
        <color auto="1"/>
        <name val="Calibri"/>
        <family val="2"/>
        <scheme val="minor"/>
      </font>
      <fill>
        <patternFill patternType="none">
          <bgColor auto="1"/>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fill>
        <patternFill patternType="none">
          <bgColor auto="1"/>
        </patternFill>
      </fill>
      <alignment horizontal="general" vertical="center" textRotation="0" wrapText="0" indent="0" justifyLastLine="0" shrinkToFit="0" readingOrder="0"/>
    </dxf>
  </dxfs>
  <tableStyles count="0" defaultTableStyle="TableStyleMedium2" defaultPivotStyle="PivotStyleLight16"/>
  <colors>
    <mruColors>
      <color rgb="FF5E8A43"/>
      <color rgb="FFBFBFBF"/>
      <color rgb="FFFFEB9C"/>
      <color rgb="FFF7BE24"/>
      <color rgb="FF03428D"/>
      <color rgb="FF174D9F"/>
      <color rgb="FFAA2120"/>
      <color rgb="FFDF2C2A"/>
      <color rgb="FF104F2D"/>
      <color rgb="FF3A91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Überblick Klimaschutzplan</a:t>
            </a:r>
          </a:p>
        </c:rich>
      </c:tx>
      <c:layout>
        <c:manualLayout>
          <c:xMode val="edge"/>
          <c:yMode val="edge"/>
          <c:x val="0.32888294133264845"/>
          <c:y val="3.64972643473455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1925082577509315"/>
          <c:y val="0.24266294126363544"/>
          <c:w val="0.33609488692842504"/>
          <c:h val="0.7014008774001264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FE99-47E1-84CD-397CBC109E3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E99-47E1-84CD-397CBC109E3F}"/>
              </c:ext>
            </c:extLst>
          </c:dPt>
          <c:dPt>
            <c:idx val="2"/>
            <c:bubble3D val="0"/>
            <c:spPr>
              <a:solidFill>
                <a:srgbClr val="FFEB9C"/>
              </a:solidFill>
              <a:ln w="19050">
                <a:solidFill>
                  <a:schemeClr val="lt1"/>
                </a:solidFill>
              </a:ln>
              <a:effectLst/>
            </c:spPr>
            <c:extLst>
              <c:ext xmlns:c16="http://schemas.microsoft.com/office/drawing/2014/chart" uri="{C3380CC4-5D6E-409C-BE32-E72D297353CC}">
                <c16:uniqueId val="{00000005-FE99-47E1-84CD-397CBC109E3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E99-47E1-84CD-397CBC109E3F}"/>
              </c:ext>
            </c:extLst>
          </c:dPt>
          <c:dPt>
            <c:idx val="4"/>
            <c:bubble3D val="0"/>
            <c:spPr>
              <a:solidFill>
                <a:srgbClr val="BFBFBF"/>
              </a:solidFill>
              <a:ln w="19050">
                <a:solidFill>
                  <a:schemeClr val="lt1"/>
                </a:solidFill>
              </a:ln>
              <a:effectLst/>
            </c:spPr>
            <c:extLst>
              <c:ext xmlns:c16="http://schemas.microsoft.com/office/drawing/2014/chart" uri="{C3380CC4-5D6E-409C-BE32-E72D297353CC}">
                <c16:uniqueId val="{00000009-C772-4082-A1E5-0BF2EDF95DA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772-4082-A1E5-0BF2EDF95DAE}"/>
              </c:ext>
            </c:extLst>
          </c:dPt>
          <c:dPt>
            <c:idx val="6"/>
            <c:bubble3D val="0"/>
            <c:spPr>
              <a:solidFill>
                <a:srgbClr val="FF0000"/>
              </a:solidFill>
              <a:ln w="19050">
                <a:solidFill>
                  <a:schemeClr val="lt1"/>
                </a:solidFill>
              </a:ln>
              <a:effectLst/>
            </c:spPr>
            <c:extLst>
              <c:ext xmlns:c16="http://schemas.microsoft.com/office/drawing/2014/chart" uri="{C3380CC4-5D6E-409C-BE32-E72D297353CC}">
                <c16:uniqueId val="{0000000D-C772-4082-A1E5-0BF2EDF95DAE}"/>
              </c:ext>
            </c:extLst>
          </c:dPt>
          <c:cat>
            <c:strRef>
              <c:f>Überblick!$C$27:$C$33</c:f>
              <c:strCache>
                <c:ptCount val="7"/>
                <c:pt idx="0">
                  <c:v>Anzahl der umgesetzen Maßnahmen</c:v>
                </c:pt>
                <c:pt idx="2">
                  <c:v>Anzahl der in Umsetzung befindlichen Maßnahmen</c:v>
                </c:pt>
                <c:pt idx="4">
                  <c:v>Anzahl der zukünftig geplanten Maßnahmen</c:v>
                </c:pt>
                <c:pt idx="6">
                  <c:v>Anzahl der nicht umsetzbaren Maßnahmen </c:v>
                </c:pt>
              </c:strCache>
            </c:strRef>
          </c:cat>
          <c:val>
            <c:numRef>
              <c:f>Überblick!$D$27:$D$33</c:f>
              <c:numCache>
                <c:formatCode>General</c:formatCode>
                <c:ptCount val="7"/>
              </c:numCache>
            </c:numRef>
          </c:val>
          <c:extLst>
            <c:ext xmlns:c16="http://schemas.microsoft.com/office/drawing/2014/chart" uri="{C3380CC4-5D6E-409C-BE32-E72D297353CC}">
              <c16:uniqueId val="{00000008-FE99-47E1-84CD-397CBC109E3F}"/>
            </c:ext>
          </c:extLst>
        </c:ser>
        <c:ser>
          <c:idx val="3"/>
          <c:order val="1"/>
          <c:dPt>
            <c:idx val="0"/>
            <c:bubble3D val="0"/>
            <c:spPr>
              <a:solidFill>
                <a:srgbClr val="92D050"/>
              </a:solidFill>
              <a:ln w="19050">
                <a:solidFill>
                  <a:schemeClr val="lt1"/>
                </a:solidFill>
              </a:ln>
              <a:effectLst/>
            </c:spPr>
            <c:extLst>
              <c:ext xmlns:c16="http://schemas.microsoft.com/office/drawing/2014/chart" uri="{C3380CC4-5D6E-409C-BE32-E72D297353CC}">
                <c16:uniqueId val="{0000000A-FE99-47E1-84CD-397CBC109E3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C-FE99-47E1-84CD-397CBC109E3F}"/>
              </c:ext>
            </c:extLst>
          </c:dPt>
          <c:dPt>
            <c:idx val="2"/>
            <c:bubble3D val="0"/>
            <c:spPr>
              <a:solidFill>
                <a:srgbClr val="FFEB9C"/>
              </a:solidFill>
              <a:ln w="19050">
                <a:solidFill>
                  <a:schemeClr val="lt1"/>
                </a:solidFill>
              </a:ln>
              <a:effectLst/>
            </c:spPr>
            <c:extLst>
              <c:ext xmlns:c16="http://schemas.microsoft.com/office/drawing/2014/chart" uri="{C3380CC4-5D6E-409C-BE32-E72D297353CC}">
                <c16:uniqueId val="{0000000E-FE99-47E1-84CD-397CBC109E3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0-FE99-47E1-84CD-397CBC109E3F}"/>
              </c:ext>
            </c:extLst>
          </c:dPt>
          <c:dPt>
            <c:idx val="4"/>
            <c:bubble3D val="0"/>
            <c:spPr>
              <a:solidFill>
                <a:srgbClr val="BFBFBF"/>
              </a:solidFill>
              <a:ln w="19050">
                <a:solidFill>
                  <a:schemeClr val="lt1"/>
                </a:solidFill>
              </a:ln>
              <a:effectLst/>
            </c:spPr>
            <c:extLst>
              <c:ext xmlns:c16="http://schemas.microsoft.com/office/drawing/2014/chart" uri="{C3380CC4-5D6E-409C-BE32-E72D297353CC}">
                <c16:uniqueId val="{00000017-C772-4082-A1E5-0BF2EDF95DA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9-C772-4082-A1E5-0BF2EDF95DAE}"/>
              </c:ext>
            </c:extLst>
          </c:dPt>
          <c:dPt>
            <c:idx val="6"/>
            <c:bubble3D val="0"/>
            <c:spPr>
              <a:solidFill>
                <a:srgbClr val="FF0000"/>
              </a:solidFill>
              <a:ln w="19050">
                <a:solidFill>
                  <a:schemeClr val="lt1"/>
                </a:solidFill>
              </a:ln>
              <a:effectLst/>
            </c:spPr>
            <c:extLst>
              <c:ext xmlns:c16="http://schemas.microsoft.com/office/drawing/2014/chart" uri="{C3380CC4-5D6E-409C-BE32-E72D297353CC}">
                <c16:uniqueId val="{0000001B-C772-4082-A1E5-0BF2EDF95DAE}"/>
              </c:ext>
            </c:extLst>
          </c:dPt>
          <c:dLbls>
            <c:dLbl>
              <c:idx val="0"/>
              <c:layout>
                <c:manualLayout>
                  <c:x val="2.5551930513842318E-3"/>
                  <c:y val="4.9022147892251646E-3"/>
                </c:manualLayout>
              </c:layout>
              <c:tx>
                <c:rich>
                  <a:bodyPr/>
                  <a:lstStyle/>
                  <a:p>
                    <a:fld id="{61BC254B-ADBC-4BC3-8203-390E3E7479C7}" type="VALUE">
                      <a:rPr lang="en-US">
                        <a:solidFill>
                          <a:schemeClr val="tx1"/>
                        </a:solidFill>
                      </a:rPr>
                      <a:pPr/>
                      <a:t>[WERT]</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FE99-47E1-84CD-397CBC109E3F}"/>
                </c:ext>
              </c:extLst>
            </c:dLbl>
            <c:dLbl>
              <c:idx val="4"/>
              <c:layout>
                <c:manualLayout>
                  <c:x val="-4.2587581820535229E-3"/>
                  <c:y val="1.0456426185456674E-2"/>
                </c:manualLayout>
              </c:layout>
              <c:tx>
                <c:rich>
                  <a:bodyPr/>
                  <a:lstStyle/>
                  <a:p>
                    <a:fld id="{E78CC196-13DB-43CD-9FD8-A358220D677A}" type="VALUE">
                      <a:rPr lang="en-US">
                        <a:solidFill>
                          <a:schemeClr val="tx1"/>
                        </a:solidFill>
                      </a:rPr>
                      <a:pPr/>
                      <a:t>[WERT]</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7-C772-4082-A1E5-0BF2EDF95DAE}"/>
                </c:ext>
              </c:extLst>
            </c:dLbl>
            <c:dLbl>
              <c:idx val="6"/>
              <c:layout>
                <c:manualLayout>
                  <c:x val="-3.9255990788751804E-2"/>
                  <c:y val="-0.11986953467147296"/>
                </c:manualLayout>
              </c:layout>
              <c:tx>
                <c:rich>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fld id="{3BC08A5D-2578-41A4-A48A-181CE92945F6}" type="VALUE">
                      <a:rPr lang="en-US">
                        <a:solidFill>
                          <a:srgbClr val="FF0000"/>
                        </a:solidFill>
                      </a:rPr>
                      <a:pPr>
                        <a:defRPr sz="1400">
                          <a:solidFill>
                            <a:schemeClr val="bg1"/>
                          </a:solidFill>
                        </a:defRPr>
                      </a:pPr>
                      <a:t>[WERT]</a:t>
                    </a:fld>
                    <a:endParaRPr lang="de-DE"/>
                  </a:p>
                </c:rich>
              </c:tx>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de-DE"/>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B-C772-4082-A1E5-0BF2EDF95DA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Überblick!$C$27:$C$33</c:f>
              <c:strCache>
                <c:ptCount val="7"/>
                <c:pt idx="0">
                  <c:v>Anzahl der umgesetzen Maßnahmen</c:v>
                </c:pt>
                <c:pt idx="2">
                  <c:v>Anzahl der in Umsetzung befindlichen Maßnahmen</c:v>
                </c:pt>
                <c:pt idx="4">
                  <c:v>Anzahl der zukünftig geplanten Maßnahmen</c:v>
                </c:pt>
                <c:pt idx="6">
                  <c:v>Anzahl der nicht umsetzbaren Maßnahmen </c:v>
                </c:pt>
              </c:strCache>
            </c:strRef>
          </c:cat>
          <c:val>
            <c:numRef>
              <c:f>Überblick!$E$27:$E$33</c:f>
              <c:numCache>
                <c:formatCode>General</c:formatCode>
                <c:ptCount val="7"/>
                <c:pt idx="0">
                  <c:v>21</c:v>
                </c:pt>
                <c:pt idx="2">
                  <c:v>7</c:v>
                </c:pt>
                <c:pt idx="4">
                  <c:v>6</c:v>
                </c:pt>
                <c:pt idx="6">
                  <c:v>0</c:v>
                </c:pt>
              </c:numCache>
            </c:numRef>
          </c:val>
          <c:extLst>
            <c:ext xmlns:c16="http://schemas.microsoft.com/office/drawing/2014/chart" uri="{C3380CC4-5D6E-409C-BE32-E72D297353CC}">
              <c16:uniqueId val="{00000011-FE99-47E1-84CD-397CBC109E3F}"/>
            </c:ext>
          </c:extLst>
        </c:ser>
        <c:dLbls>
          <c:showLegendKey val="0"/>
          <c:showVal val="0"/>
          <c:showCatName val="0"/>
          <c:showSerName val="0"/>
          <c:showPercent val="0"/>
          <c:showBubbleSize val="0"/>
          <c:showLeaderLines val="1"/>
        </c:dLbls>
        <c:firstSliceAng val="0"/>
        <c:holeSize val="28"/>
      </c:doughnutChart>
      <c:spPr>
        <a:noFill/>
        <a:ln>
          <a:noFill/>
        </a:ln>
        <a:effectLst/>
      </c:spPr>
    </c:plotArea>
    <c:legend>
      <c:legendPos val="r"/>
      <c:legendEntry>
        <c:idx val="1"/>
        <c:delete val="1"/>
      </c:legendEntry>
      <c:legendEntry>
        <c:idx val="3"/>
        <c:delete val="1"/>
      </c:legendEntry>
      <c:legendEntry>
        <c:idx val="5"/>
        <c:delete val="1"/>
      </c:legendEntry>
      <c:layout>
        <c:manualLayout>
          <c:xMode val="edge"/>
          <c:yMode val="edge"/>
          <c:x val="0.50686554447859955"/>
          <c:y val="0.18429008206673547"/>
          <c:w val="0.44096453253700463"/>
          <c:h val="0.66914911638521291"/>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rnd" cmpd="sng" algn="ctr">
      <a:solidFill>
        <a:schemeClr val="accent1">
          <a:shade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Überblick Klimaschutzplan</a:t>
            </a:r>
          </a:p>
        </c:rich>
      </c:tx>
      <c:layout>
        <c:manualLayout>
          <c:xMode val="edge"/>
          <c:yMode val="edge"/>
          <c:x val="0.32888294133264845"/>
          <c:y val="3.64972643473455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1925082577509315"/>
          <c:y val="0.24266294126363544"/>
          <c:w val="0.33609488692842504"/>
          <c:h val="0.7014008774001264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597E-4A06-837A-5CCE11B6CDC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97E-4A06-837A-5CCE11B6CDC8}"/>
              </c:ext>
            </c:extLst>
          </c:dPt>
          <c:dPt>
            <c:idx val="2"/>
            <c:bubble3D val="0"/>
            <c:spPr>
              <a:solidFill>
                <a:srgbClr val="FFEB9C"/>
              </a:solidFill>
              <a:ln w="19050">
                <a:solidFill>
                  <a:schemeClr val="lt1"/>
                </a:solidFill>
              </a:ln>
              <a:effectLst/>
            </c:spPr>
            <c:extLst>
              <c:ext xmlns:c16="http://schemas.microsoft.com/office/drawing/2014/chart" uri="{C3380CC4-5D6E-409C-BE32-E72D297353CC}">
                <c16:uniqueId val="{00000005-597E-4A06-837A-5CCE11B6CDC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97E-4A06-837A-5CCE11B6CDC8}"/>
              </c:ext>
            </c:extLst>
          </c:dPt>
          <c:dPt>
            <c:idx val="4"/>
            <c:bubble3D val="0"/>
            <c:spPr>
              <a:solidFill>
                <a:srgbClr val="BFBFBF"/>
              </a:solidFill>
              <a:ln w="19050">
                <a:solidFill>
                  <a:schemeClr val="lt1"/>
                </a:solidFill>
              </a:ln>
              <a:effectLst/>
            </c:spPr>
            <c:extLst>
              <c:ext xmlns:c16="http://schemas.microsoft.com/office/drawing/2014/chart" uri="{C3380CC4-5D6E-409C-BE32-E72D297353CC}">
                <c16:uniqueId val="{00000009-597E-4A06-837A-5CCE11B6CDC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97E-4A06-837A-5CCE11B6CDC8}"/>
              </c:ext>
            </c:extLst>
          </c:dPt>
          <c:dPt>
            <c:idx val="6"/>
            <c:bubble3D val="0"/>
            <c:spPr>
              <a:solidFill>
                <a:srgbClr val="FF0000"/>
              </a:solidFill>
              <a:ln w="19050">
                <a:solidFill>
                  <a:schemeClr val="lt1"/>
                </a:solidFill>
              </a:ln>
              <a:effectLst/>
            </c:spPr>
            <c:extLst>
              <c:ext xmlns:c16="http://schemas.microsoft.com/office/drawing/2014/chart" uri="{C3380CC4-5D6E-409C-BE32-E72D297353CC}">
                <c16:uniqueId val="{0000000D-597E-4A06-837A-5CCE11B6CDC8}"/>
              </c:ext>
            </c:extLst>
          </c:dPt>
          <c:cat>
            <c:strRef>
              <c:f>Überblick!$C$44:$C$50</c:f>
              <c:strCache>
                <c:ptCount val="7"/>
                <c:pt idx="0">
                  <c:v>Anzahl der umgesetzen Maßnahmen</c:v>
                </c:pt>
                <c:pt idx="2">
                  <c:v>Anzahl der in Umsetzung befindlichen Maßnahmen</c:v>
                </c:pt>
                <c:pt idx="4">
                  <c:v>Anzahl der zukünftig geplanten Maßnahmen</c:v>
                </c:pt>
                <c:pt idx="6">
                  <c:v>Anzahl der nicht umsetzbaren Maßnahmen </c:v>
                </c:pt>
              </c:strCache>
            </c:strRef>
          </c:cat>
          <c:val>
            <c:numRef>
              <c:f>Überblick!$D$44:$D$50</c:f>
              <c:numCache>
                <c:formatCode>General</c:formatCode>
                <c:ptCount val="7"/>
              </c:numCache>
            </c:numRef>
          </c:val>
          <c:extLst>
            <c:ext xmlns:c16="http://schemas.microsoft.com/office/drawing/2014/chart" uri="{C3380CC4-5D6E-409C-BE32-E72D297353CC}">
              <c16:uniqueId val="{0000000E-597E-4A06-837A-5CCE11B6CDC8}"/>
            </c:ext>
          </c:extLst>
        </c:ser>
        <c:ser>
          <c:idx val="3"/>
          <c:order val="1"/>
          <c:dPt>
            <c:idx val="0"/>
            <c:bubble3D val="0"/>
            <c:spPr>
              <a:solidFill>
                <a:srgbClr val="92D050"/>
              </a:solidFill>
              <a:ln w="19050">
                <a:solidFill>
                  <a:schemeClr val="lt1"/>
                </a:solidFill>
              </a:ln>
              <a:effectLst/>
            </c:spPr>
            <c:extLst>
              <c:ext xmlns:c16="http://schemas.microsoft.com/office/drawing/2014/chart" uri="{C3380CC4-5D6E-409C-BE32-E72D297353CC}">
                <c16:uniqueId val="{00000010-597E-4A06-837A-5CCE11B6CDC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2-597E-4A06-837A-5CCE11B6CDC8}"/>
              </c:ext>
            </c:extLst>
          </c:dPt>
          <c:dPt>
            <c:idx val="2"/>
            <c:bubble3D val="0"/>
            <c:spPr>
              <a:solidFill>
                <a:srgbClr val="FFEB9C"/>
              </a:solidFill>
              <a:ln w="19050">
                <a:solidFill>
                  <a:schemeClr val="lt1"/>
                </a:solidFill>
              </a:ln>
              <a:effectLst/>
            </c:spPr>
            <c:extLst>
              <c:ext xmlns:c16="http://schemas.microsoft.com/office/drawing/2014/chart" uri="{C3380CC4-5D6E-409C-BE32-E72D297353CC}">
                <c16:uniqueId val="{00000014-597E-4A06-837A-5CCE11B6CDC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6-597E-4A06-837A-5CCE11B6CDC8}"/>
              </c:ext>
            </c:extLst>
          </c:dPt>
          <c:dPt>
            <c:idx val="4"/>
            <c:bubble3D val="0"/>
            <c:spPr>
              <a:solidFill>
                <a:srgbClr val="BFBFBF"/>
              </a:solidFill>
              <a:ln w="19050">
                <a:solidFill>
                  <a:schemeClr val="lt1"/>
                </a:solidFill>
              </a:ln>
              <a:effectLst/>
            </c:spPr>
            <c:extLst>
              <c:ext xmlns:c16="http://schemas.microsoft.com/office/drawing/2014/chart" uri="{C3380CC4-5D6E-409C-BE32-E72D297353CC}">
                <c16:uniqueId val="{00000018-597E-4A06-837A-5CCE11B6CDC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A-597E-4A06-837A-5CCE11B6CDC8}"/>
              </c:ext>
            </c:extLst>
          </c:dPt>
          <c:dPt>
            <c:idx val="6"/>
            <c:bubble3D val="0"/>
            <c:spPr>
              <a:solidFill>
                <a:srgbClr val="FF0000"/>
              </a:solidFill>
              <a:ln w="19050">
                <a:solidFill>
                  <a:schemeClr val="lt1"/>
                </a:solidFill>
              </a:ln>
              <a:effectLst/>
            </c:spPr>
            <c:extLst>
              <c:ext xmlns:c16="http://schemas.microsoft.com/office/drawing/2014/chart" uri="{C3380CC4-5D6E-409C-BE32-E72D297353CC}">
                <c16:uniqueId val="{0000001C-597E-4A06-837A-5CCE11B6CDC8}"/>
              </c:ext>
            </c:extLst>
          </c:dPt>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Überblick!$C$44:$C$50</c:f>
              <c:strCache>
                <c:ptCount val="7"/>
                <c:pt idx="0">
                  <c:v>Anzahl der umgesetzen Maßnahmen</c:v>
                </c:pt>
                <c:pt idx="2">
                  <c:v>Anzahl der in Umsetzung befindlichen Maßnahmen</c:v>
                </c:pt>
                <c:pt idx="4">
                  <c:v>Anzahl der zukünftig geplanten Maßnahmen</c:v>
                </c:pt>
                <c:pt idx="6">
                  <c:v>Anzahl der nicht umsetzbaren Maßnahmen </c:v>
                </c:pt>
              </c:strCache>
            </c:strRef>
          </c:cat>
          <c:val>
            <c:numRef>
              <c:f>Überblick!$E$44:$E$50</c:f>
              <c:numCache>
                <c:formatCode>General</c:formatCode>
                <c:ptCount val="7"/>
                <c:pt idx="0">
                  <c:v>33</c:v>
                </c:pt>
                <c:pt idx="2">
                  <c:v>2</c:v>
                </c:pt>
                <c:pt idx="4">
                  <c:v>5</c:v>
                </c:pt>
                <c:pt idx="6">
                  <c:v>0</c:v>
                </c:pt>
              </c:numCache>
            </c:numRef>
          </c:val>
          <c:extLst>
            <c:ext xmlns:c16="http://schemas.microsoft.com/office/drawing/2014/chart" uri="{C3380CC4-5D6E-409C-BE32-E72D297353CC}">
              <c16:uniqueId val="{0000001D-597E-4A06-837A-5CCE11B6CDC8}"/>
            </c:ext>
          </c:extLst>
        </c:ser>
        <c:dLbls>
          <c:showLegendKey val="0"/>
          <c:showVal val="0"/>
          <c:showCatName val="0"/>
          <c:showSerName val="0"/>
          <c:showPercent val="0"/>
          <c:showBubbleSize val="0"/>
          <c:showLeaderLines val="1"/>
        </c:dLbls>
        <c:firstSliceAng val="0"/>
        <c:holeSize val="28"/>
      </c:doughnutChart>
      <c:spPr>
        <a:noFill/>
        <a:ln>
          <a:noFill/>
        </a:ln>
        <a:effectLst/>
      </c:spPr>
    </c:plotArea>
    <c:legend>
      <c:legendPos val="r"/>
      <c:legendEntry>
        <c:idx val="1"/>
        <c:delete val="1"/>
      </c:legendEntry>
      <c:legendEntry>
        <c:idx val="3"/>
        <c:delete val="1"/>
      </c:legendEntry>
      <c:legendEntry>
        <c:idx val="5"/>
        <c:delete val="1"/>
      </c:legendEntry>
      <c:layout>
        <c:manualLayout>
          <c:xMode val="edge"/>
          <c:yMode val="edge"/>
          <c:x val="0.50686554447859955"/>
          <c:y val="0.18429008206673547"/>
          <c:w val="0.44096453253700463"/>
          <c:h val="0.66914911638521291"/>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rnd" cmpd="sng" algn="ctr">
      <a:solidFill>
        <a:schemeClr val="accent1">
          <a:shade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Überblick Klimaschutzplan</a:t>
            </a:r>
          </a:p>
        </c:rich>
      </c:tx>
      <c:layout>
        <c:manualLayout>
          <c:xMode val="edge"/>
          <c:yMode val="edge"/>
          <c:x val="0.32888294133264845"/>
          <c:y val="3.64972643473455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1925082577509315"/>
          <c:y val="0.24266294126363544"/>
          <c:w val="0.33609488692842504"/>
          <c:h val="0.7014008774001264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72EC-4F12-8503-90D6DD9811B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2EC-4F12-8503-90D6DD9811BB}"/>
              </c:ext>
            </c:extLst>
          </c:dPt>
          <c:dPt>
            <c:idx val="2"/>
            <c:bubble3D val="0"/>
            <c:spPr>
              <a:solidFill>
                <a:srgbClr val="FFEB9C"/>
              </a:solidFill>
              <a:ln w="19050">
                <a:solidFill>
                  <a:schemeClr val="lt1"/>
                </a:solidFill>
              </a:ln>
              <a:effectLst/>
            </c:spPr>
            <c:extLst>
              <c:ext xmlns:c16="http://schemas.microsoft.com/office/drawing/2014/chart" uri="{C3380CC4-5D6E-409C-BE32-E72D297353CC}">
                <c16:uniqueId val="{00000005-72EC-4F12-8503-90D6DD9811B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2EC-4F12-8503-90D6DD9811BB}"/>
              </c:ext>
            </c:extLst>
          </c:dPt>
          <c:dPt>
            <c:idx val="4"/>
            <c:bubble3D val="0"/>
            <c:spPr>
              <a:solidFill>
                <a:srgbClr val="BFBFBF"/>
              </a:solidFill>
              <a:ln w="19050">
                <a:solidFill>
                  <a:schemeClr val="lt1"/>
                </a:solidFill>
              </a:ln>
              <a:effectLst/>
            </c:spPr>
            <c:extLst>
              <c:ext xmlns:c16="http://schemas.microsoft.com/office/drawing/2014/chart" uri="{C3380CC4-5D6E-409C-BE32-E72D297353CC}">
                <c16:uniqueId val="{00000009-72EC-4F12-8503-90D6DD9811B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2EC-4F12-8503-90D6DD9811BB}"/>
              </c:ext>
            </c:extLst>
          </c:dPt>
          <c:dPt>
            <c:idx val="6"/>
            <c:bubble3D val="0"/>
            <c:spPr>
              <a:solidFill>
                <a:srgbClr val="FF0000"/>
              </a:solidFill>
              <a:ln w="19050">
                <a:solidFill>
                  <a:schemeClr val="lt1"/>
                </a:solidFill>
              </a:ln>
              <a:effectLst/>
            </c:spPr>
            <c:extLst>
              <c:ext xmlns:c16="http://schemas.microsoft.com/office/drawing/2014/chart" uri="{C3380CC4-5D6E-409C-BE32-E72D297353CC}">
                <c16:uniqueId val="{0000000D-72EC-4F12-8503-90D6DD9811B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Überblick!$C$62:$C$68</c:f>
              <c:strCache>
                <c:ptCount val="7"/>
                <c:pt idx="0">
                  <c:v>Anzahl der umgesetzen Maßnahmen</c:v>
                </c:pt>
                <c:pt idx="2">
                  <c:v>Anzahl der in Umsetzung befindlichen Maßnahmen</c:v>
                </c:pt>
                <c:pt idx="4">
                  <c:v>Anzahl der zukünftig geplanten Maßnahmen</c:v>
                </c:pt>
                <c:pt idx="6">
                  <c:v>Anzahl der nicht umsetzbaren Maßnahmen </c:v>
                </c:pt>
              </c:strCache>
            </c:strRef>
          </c:cat>
          <c:val>
            <c:numRef>
              <c:f>Überblick!$D$27:$D$33</c:f>
              <c:numCache>
                <c:formatCode>General</c:formatCode>
                <c:ptCount val="7"/>
              </c:numCache>
            </c:numRef>
          </c:val>
          <c:extLst>
            <c:ext xmlns:c16="http://schemas.microsoft.com/office/drawing/2014/chart" uri="{C3380CC4-5D6E-409C-BE32-E72D297353CC}">
              <c16:uniqueId val="{0000000E-72EC-4F12-8503-90D6DD9811BB}"/>
            </c:ext>
          </c:extLst>
        </c:ser>
        <c:ser>
          <c:idx val="3"/>
          <c:order val="1"/>
          <c:dPt>
            <c:idx val="0"/>
            <c:bubble3D val="0"/>
            <c:spPr>
              <a:solidFill>
                <a:srgbClr val="F7BE24"/>
              </a:solidFill>
              <a:ln w="19050">
                <a:solidFill>
                  <a:schemeClr val="lt1"/>
                </a:solidFill>
              </a:ln>
              <a:effectLst/>
            </c:spPr>
            <c:extLst>
              <c:ext xmlns:c16="http://schemas.microsoft.com/office/drawing/2014/chart" uri="{C3380CC4-5D6E-409C-BE32-E72D297353CC}">
                <c16:uniqueId val="{00000010-72EC-4F12-8503-90D6DD9811B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2-72EC-4F12-8503-90D6DD9811BB}"/>
              </c:ext>
            </c:extLst>
          </c:dPt>
          <c:dPt>
            <c:idx val="2"/>
            <c:bubble3D val="0"/>
            <c:spPr>
              <a:solidFill>
                <a:srgbClr val="FFEB9C"/>
              </a:solidFill>
              <a:ln w="19050">
                <a:solidFill>
                  <a:schemeClr val="lt1"/>
                </a:solidFill>
              </a:ln>
              <a:effectLst/>
            </c:spPr>
            <c:extLst>
              <c:ext xmlns:c16="http://schemas.microsoft.com/office/drawing/2014/chart" uri="{C3380CC4-5D6E-409C-BE32-E72D297353CC}">
                <c16:uniqueId val="{00000014-72EC-4F12-8503-90D6DD9811B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6-72EC-4F12-8503-90D6DD9811BB}"/>
              </c:ext>
            </c:extLst>
          </c:dPt>
          <c:dPt>
            <c:idx val="4"/>
            <c:bubble3D val="0"/>
            <c:spPr>
              <a:solidFill>
                <a:srgbClr val="BFBFBF"/>
              </a:solidFill>
              <a:ln w="19050">
                <a:solidFill>
                  <a:schemeClr val="lt1"/>
                </a:solidFill>
              </a:ln>
              <a:effectLst/>
            </c:spPr>
            <c:extLst>
              <c:ext xmlns:c16="http://schemas.microsoft.com/office/drawing/2014/chart" uri="{C3380CC4-5D6E-409C-BE32-E72D297353CC}">
                <c16:uniqueId val="{00000018-72EC-4F12-8503-90D6DD9811B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A-72EC-4F12-8503-90D6DD9811BB}"/>
              </c:ext>
            </c:extLst>
          </c:dPt>
          <c:dPt>
            <c:idx val="6"/>
            <c:bubble3D val="0"/>
            <c:spPr>
              <a:solidFill>
                <a:srgbClr val="FF0000"/>
              </a:solidFill>
              <a:ln w="19050">
                <a:solidFill>
                  <a:schemeClr val="lt1"/>
                </a:solidFill>
              </a:ln>
              <a:effectLst/>
            </c:spPr>
            <c:extLst>
              <c:ext xmlns:c16="http://schemas.microsoft.com/office/drawing/2014/chart" uri="{C3380CC4-5D6E-409C-BE32-E72D297353CC}">
                <c16:uniqueId val="{0000001C-72EC-4F12-8503-90D6DD9811BB}"/>
              </c:ext>
            </c:extLst>
          </c:dPt>
          <c:dLbls>
            <c:dLbl>
              <c:idx val="6"/>
              <c:layout>
                <c:manualLayout>
                  <c:x val="-4.4719518158608494E-3"/>
                  <c:y val="2.139301603761781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72EC-4F12-8503-90D6DD9811BB}"/>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Überblick!$C$62:$C$68</c:f>
              <c:strCache>
                <c:ptCount val="7"/>
                <c:pt idx="0">
                  <c:v>Anzahl der umgesetzen Maßnahmen</c:v>
                </c:pt>
                <c:pt idx="2">
                  <c:v>Anzahl der in Umsetzung befindlichen Maßnahmen</c:v>
                </c:pt>
                <c:pt idx="4">
                  <c:v>Anzahl der zukünftig geplanten Maßnahmen</c:v>
                </c:pt>
                <c:pt idx="6">
                  <c:v>Anzahl der nicht umsetzbaren Maßnahmen </c:v>
                </c:pt>
              </c:strCache>
            </c:strRef>
          </c:cat>
          <c:val>
            <c:numRef>
              <c:f>Überblick!$E$62:$E$68</c:f>
              <c:numCache>
                <c:formatCode>General</c:formatCode>
                <c:ptCount val="7"/>
                <c:pt idx="0">
                  <c:v>0</c:v>
                </c:pt>
                <c:pt idx="2">
                  <c:v>0</c:v>
                </c:pt>
                <c:pt idx="4">
                  <c:v>0</c:v>
                </c:pt>
                <c:pt idx="6">
                  <c:v>0</c:v>
                </c:pt>
              </c:numCache>
            </c:numRef>
          </c:val>
          <c:extLst>
            <c:ext xmlns:c16="http://schemas.microsoft.com/office/drawing/2014/chart" uri="{C3380CC4-5D6E-409C-BE32-E72D297353CC}">
              <c16:uniqueId val="{0000001D-72EC-4F12-8503-90D6DD9811BB}"/>
            </c:ext>
          </c:extLst>
        </c:ser>
        <c:dLbls>
          <c:showLegendKey val="0"/>
          <c:showVal val="1"/>
          <c:showCatName val="0"/>
          <c:showSerName val="0"/>
          <c:showPercent val="0"/>
          <c:showBubbleSize val="0"/>
          <c:showLeaderLines val="1"/>
        </c:dLbls>
        <c:firstSliceAng val="0"/>
        <c:holeSize val="28"/>
      </c:doughnutChart>
      <c:spPr>
        <a:noFill/>
        <a:ln>
          <a:noFill/>
        </a:ln>
        <a:effectLst/>
      </c:spPr>
    </c:plotArea>
    <c:legend>
      <c:legendPos val="r"/>
      <c:legendEntry>
        <c:idx val="1"/>
        <c:delete val="1"/>
      </c:legendEntry>
      <c:legendEntry>
        <c:idx val="3"/>
        <c:delete val="1"/>
      </c:legendEntry>
      <c:legendEntry>
        <c:idx val="5"/>
        <c:delete val="1"/>
      </c:legendEntry>
      <c:layout>
        <c:manualLayout>
          <c:xMode val="edge"/>
          <c:yMode val="edge"/>
          <c:x val="0.50686554447859955"/>
          <c:y val="0.18429008206673547"/>
          <c:w val="0.44096453253700463"/>
          <c:h val="0.66914911638521291"/>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rnd" cmpd="sng" algn="ctr">
      <a:solidFill>
        <a:schemeClr val="accent1">
          <a:shade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cap="all" spc="120" normalizeH="0" baseline="0">
                <a:solidFill>
                  <a:sysClr val="windowText" lastClr="000000"/>
                </a:solidFill>
                <a:latin typeface="+mn-lt"/>
                <a:ea typeface="+mn-ea"/>
                <a:cs typeface="+mn-cs"/>
              </a:defRPr>
            </a:pPr>
            <a:r>
              <a:rPr lang="de-DE" sz="2000">
                <a:solidFill>
                  <a:sysClr val="windowText" lastClr="000000"/>
                </a:solidFill>
                <a:latin typeface="+mn-lt"/>
              </a:rPr>
              <a:t>CO</a:t>
            </a:r>
            <a:r>
              <a:rPr lang="de-DE" sz="2000" baseline="-25000">
                <a:solidFill>
                  <a:sysClr val="windowText" lastClr="000000"/>
                </a:solidFill>
                <a:latin typeface="+mn-lt"/>
              </a:rPr>
              <a:t>2</a:t>
            </a:r>
            <a:r>
              <a:rPr lang="de-DE" sz="2000">
                <a:solidFill>
                  <a:sysClr val="windowText" lastClr="000000"/>
                </a:solidFill>
                <a:latin typeface="+mn-lt"/>
              </a:rPr>
              <a:t>-Reduktionspfade</a:t>
            </a:r>
          </a:p>
        </c:rich>
      </c:tx>
      <c:layout>
        <c:manualLayout>
          <c:xMode val="edge"/>
          <c:yMode val="edge"/>
          <c:x val="0.34637923231831996"/>
          <c:y val="3.2030280593938747E-2"/>
        </c:manualLayout>
      </c:layout>
      <c:overlay val="0"/>
      <c:spPr>
        <a:noFill/>
        <a:ln>
          <a:noFill/>
        </a:ln>
        <a:effectLst/>
      </c:spPr>
      <c:txPr>
        <a:bodyPr rot="0" spcFirstLastPara="1" vertOverflow="ellipsis" vert="horz" wrap="square" anchor="ctr" anchorCtr="1"/>
        <a:lstStyle/>
        <a:p>
          <a:pPr>
            <a:defRPr sz="2000" b="1" i="0" u="none" strike="noStrike" kern="1200" cap="all" spc="120" normalizeH="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0.11978439004770877"/>
          <c:y val="0.14808415976010605"/>
          <c:w val="0.8557442996352328"/>
          <c:h val="0.60626065500607884"/>
        </c:manualLayout>
      </c:layout>
      <c:lineChart>
        <c:grouping val="standard"/>
        <c:varyColors val="0"/>
        <c:ser>
          <c:idx val="1"/>
          <c:order val="0"/>
          <c:tx>
            <c:strRef>
              <c:f>'CO2-Reduktionspfad_alt'!$A$24</c:f>
              <c:strCache>
                <c:ptCount val="1"/>
                <c:pt idx="0">
                  <c:v>Real ohne Kompensation</c:v>
                </c:pt>
              </c:strCache>
            </c:strRef>
          </c:tx>
          <c:spPr>
            <a:ln w="44450" cap="rnd">
              <a:solidFill>
                <a:srgbClr val="F7BE24"/>
              </a:solidFill>
              <a:round/>
            </a:ln>
            <a:effectLst/>
          </c:spPr>
          <c:marker>
            <c:symbol val="square"/>
            <c:size val="6"/>
            <c:spPr>
              <a:solidFill>
                <a:srgbClr val="F7BE24"/>
              </a:solidFill>
              <a:ln w="50800">
                <a:solidFill>
                  <a:srgbClr val="F7BE24"/>
                </a:solidFill>
                <a:round/>
              </a:ln>
              <a:effectLst/>
            </c:spPr>
          </c:marker>
          <c:cat>
            <c:strRef>
              <c:f>'CO2-Reduktionspfad_alt'!$C$23:$M$23</c:f>
              <c:strCache>
                <c:ptCount val="11"/>
                <c:pt idx="0">
                  <c:v>Startbilanz 
2022</c:v>
                </c:pt>
                <c:pt idx="1">
                  <c:v>2023</c:v>
                </c:pt>
                <c:pt idx="2">
                  <c:v>2024</c:v>
                </c:pt>
                <c:pt idx="3">
                  <c:v>2025</c:v>
                </c:pt>
                <c:pt idx="4">
                  <c:v>2026</c:v>
                </c:pt>
                <c:pt idx="5">
                  <c:v>2027</c:v>
                </c:pt>
                <c:pt idx="6">
                  <c:v>2028</c:v>
                </c:pt>
                <c:pt idx="7">
                  <c:v>2029</c:v>
                </c:pt>
                <c:pt idx="8">
                  <c:v>2030</c:v>
                </c:pt>
                <c:pt idx="9">
                  <c:v>2031</c:v>
                </c:pt>
                <c:pt idx="10">
                  <c:v>2032</c:v>
                </c:pt>
              </c:strCache>
            </c:strRef>
          </c:cat>
          <c:val>
            <c:numRef>
              <c:f>'CO2-Reduktionspfad_alt'!$C$24:$M$24</c:f>
              <c:numCache>
                <c:formatCode>0\ "t CO2e"</c:formatCode>
                <c:ptCount val="11"/>
                <c:pt idx="0" formatCode="0.0\ &quot;t CO2e&quot;">
                  <c:v>415.4</c:v>
                </c:pt>
                <c:pt idx="3">
                  <c:v>450</c:v>
                </c:pt>
                <c:pt idx="6">
                  <c:v>452</c:v>
                </c:pt>
                <c:pt idx="9">
                  <c:v>530</c:v>
                </c:pt>
              </c:numCache>
            </c:numRef>
          </c:val>
          <c:smooth val="0"/>
          <c:extLst>
            <c:ext xmlns:c16="http://schemas.microsoft.com/office/drawing/2014/chart" uri="{C3380CC4-5D6E-409C-BE32-E72D297353CC}">
              <c16:uniqueId val="{00000000-F921-4843-86AC-42A1E73751C7}"/>
            </c:ext>
          </c:extLst>
        </c:ser>
        <c:ser>
          <c:idx val="2"/>
          <c:order val="1"/>
          <c:tx>
            <c:strRef>
              <c:f>'CO2-Reduktionspfad_alt'!$A$26</c:f>
              <c:strCache>
                <c:ptCount val="1"/>
                <c:pt idx="0">
                  <c:v>Ziele ohne Kompensation</c:v>
                </c:pt>
              </c:strCache>
            </c:strRef>
          </c:tx>
          <c:spPr>
            <a:ln w="44450" cap="rnd">
              <a:solidFill>
                <a:srgbClr val="79B33D"/>
              </a:solidFill>
              <a:round/>
            </a:ln>
            <a:effectLst/>
          </c:spPr>
          <c:marker>
            <c:symbol val="triangle"/>
            <c:size val="6"/>
            <c:spPr>
              <a:solidFill>
                <a:srgbClr val="79B33D"/>
              </a:solidFill>
              <a:ln w="50800">
                <a:solidFill>
                  <a:srgbClr val="79B33D"/>
                </a:solidFill>
                <a:round/>
              </a:ln>
              <a:effectLst/>
            </c:spPr>
          </c:marker>
          <c:cat>
            <c:strRef>
              <c:f>'CO2-Reduktionspfad_alt'!$C$23:$M$23</c:f>
              <c:strCache>
                <c:ptCount val="11"/>
                <c:pt idx="0">
                  <c:v>Startbilanz 
2022</c:v>
                </c:pt>
                <c:pt idx="1">
                  <c:v>2023</c:v>
                </c:pt>
                <c:pt idx="2">
                  <c:v>2024</c:v>
                </c:pt>
                <c:pt idx="3">
                  <c:v>2025</c:v>
                </c:pt>
                <c:pt idx="4">
                  <c:v>2026</c:v>
                </c:pt>
                <c:pt idx="5">
                  <c:v>2027</c:v>
                </c:pt>
                <c:pt idx="6">
                  <c:v>2028</c:v>
                </c:pt>
                <c:pt idx="7">
                  <c:v>2029</c:v>
                </c:pt>
                <c:pt idx="8">
                  <c:v>2030</c:v>
                </c:pt>
                <c:pt idx="9">
                  <c:v>2031</c:v>
                </c:pt>
                <c:pt idx="10">
                  <c:v>2032</c:v>
                </c:pt>
              </c:strCache>
            </c:strRef>
          </c:cat>
          <c:val>
            <c:numRef>
              <c:f>'CO2-Reduktionspfad_alt'!$C$26:$M$26</c:f>
              <c:numCache>
                <c:formatCode>0\ "t CO2e"</c:formatCode>
                <c:ptCount val="11"/>
                <c:pt idx="0">
                  <c:v>415.4</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1-F921-4843-86AC-42A1E73751C7}"/>
            </c:ext>
          </c:extLst>
        </c:ser>
        <c:ser>
          <c:idx val="0"/>
          <c:order val="2"/>
          <c:tx>
            <c:strRef>
              <c:f>'CO2-Reduktionspfad_alt'!$A$25</c:f>
              <c:strCache>
                <c:ptCount val="1"/>
                <c:pt idx="0">
                  <c:v>Real mit Kompensation</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cat>
            <c:strRef>
              <c:f>'CO2-Reduktionspfad_alt'!$C$23:$M$23</c:f>
              <c:strCache>
                <c:ptCount val="11"/>
                <c:pt idx="0">
                  <c:v>Startbilanz 
2022</c:v>
                </c:pt>
                <c:pt idx="1">
                  <c:v>2023</c:v>
                </c:pt>
                <c:pt idx="2">
                  <c:v>2024</c:v>
                </c:pt>
                <c:pt idx="3">
                  <c:v>2025</c:v>
                </c:pt>
                <c:pt idx="4">
                  <c:v>2026</c:v>
                </c:pt>
                <c:pt idx="5">
                  <c:v>2027</c:v>
                </c:pt>
                <c:pt idx="6">
                  <c:v>2028</c:v>
                </c:pt>
                <c:pt idx="7">
                  <c:v>2029</c:v>
                </c:pt>
                <c:pt idx="8">
                  <c:v>2030</c:v>
                </c:pt>
                <c:pt idx="9">
                  <c:v>2031</c:v>
                </c:pt>
                <c:pt idx="10">
                  <c:v>2032</c:v>
                </c:pt>
              </c:strCache>
            </c:strRef>
          </c:cat>
          <c:val>
            <c:numRef>
              <c:f>'CO2-Reduktionspfad_alt'!$C$25:$M$25</c:f>
              <c:numCache>
                <c:formatCode>0\ "t CO2e"</c:formatCode>
                <c:ptCount val="11"/>
                <c:pt idx="0">
                  <c:v>250</c:v>
                </c:pt>
                <c:pt idx="3">
                  <c:v>350</c:v>
                </c:pt>
                <c:pt idx="6">
                  <c:v>325</c:v>
                </c:pt>
                <c:pt idx="8">
                  <c:v>230</c:v>
                </c:pt>
              </c:numCache>
            </c:numRef>
          </c:val>
          <c:smooth val="0"/>
          <c:extLst>
            <c:ext xmlns:c16="http://schemas.microsoft.com/office/drawing/2014/chart" uri="{C3380CC4-5D6E-409C-BE32-E72D297353CC}">
              <c16:uniqueId val="{00000002-F921-4843-86AC-42A1E73751C7}"/>
            </c:ext>
          </c:extLst>
        </c:ser>
        <c:ser>
          <c:idx val="3"/>
          <c:order val="3"/>
          <c:tx>
            <c:strRef>
              <c:f>'CO2-Reduktionspfad_alt'!$A$27</c:f>
              <c:strCache>
                <c:ptCount val="1"/>
                <c:pt idx="0">
                  <c:v>Ziele mit Kompensation</c:v>
                </c:pt>
              </c:strCache>
            </c:strRef>
          </c:tx>
          <c:spPr>
            <a:ln w="22225" cap="rnd">
              <a:solidFill>
                <a:schemeClr val="accent4"/>
              </a:solidFill>
              <a:round/>
            </a:ln>
            <a:effectLst/>
          </c:spPr>
          <c:marker>
            <c:symbol val="x"/>
            <c:size val="6"/>
            <c:spPr>
              <a:noFill/>
              <a:ln w="9525">
                <a:solidFill>
                  <a:schemeClr val="accent4"/>
                </a:solidFill>
                <a:round/>
              </a:ln>
              <a:effectLst/>
            </c:spPr>
          </c:marker>
          <c:cat>
            <c:strRef>
              <c:f>'CO2-Reduktionspfad_alt'!$C$23:$M$23</c:f>
              <c:strCache>
                <c:ptCount val="11"/>
                <c:pt idx="0">
                  <c:v>Startbilanz 
2022</c:v>
                </c:pt>
                <c:pt idx="1">
                  <c:v>2023</c:v>
                </c:pt>
                <c:pt idx="2">
                  <c:v>2024</c:v>
                </c:pt>
                <c:pt idx="3">
                  <c:v>2025</c:v>
                </c:pt>
                <c:pt idx="4">
                  <c:v>2026</c:v>
                </c:pt>
                <c:pt idx="5">
                  <c:v>2027</c:v>
                </c:pt>
                <c:pt idx="6">
                  <c:v>2028</c:v>
                </c:pt>
                <c:pt idx="7">
                  <c:v>2029</c:v>
                </c:pt>
                <c:pt idx="8">
                  <c:v>2030</c:v>
                </c:pt>
                <c:pt idx="9">
                  <c:v>2031</c:v>
                </c:pt>
                <c:pt idx="10">
                  <c:v>2032</c:v>
                </c:pt>
              </c:strCache>
            </c:strRef>
          </c:cat>
          <c:val>
            <c:numRef>
              <c:f>'CO2-Reduktionspfad_alt'!$C$27:$M$27</c:f>
              <c:numCache>
                <c:formatCode>0\ "t CO2e"</c:formatCode>
                <c:ptCount val="11"/>
                <c:pt idx="0">
                  <c:v>415.4</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4-F921-4843-86AC-42A1E73751C7}"/>
            </c:ext>
          </c:extLst>
        </c:ser>
        <c:dLbls>
          <c:showLegendKey val="0"/>
          <c:showVal val="0"/>
          <c:showCatName val="0"/>
          <c:showSerName val="0"/>
          <c:showPercent val="0"/>
          <c:showBubbleSize val="0"/>
        </c:dLbls>
        <c:marker val="1"/>
        <c:smooth val="0"/>
        <c:axId val="1790473888"/>
        <c:axId val="1790474304"/>
      </c:lineChart>
      <c:catAx>
        <c:axId val="17904738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cap="all" spc="120" normalizeH="0" baseline="0">
                <a:solidFill>
                  <a:sysClr val="windowText" lastClr="000000"/>
                </a:solidFill>
                <a:latin typeface="+mn-lt"/>
                <a:ea typeface="+mn-ea"/>
                <a:cs typeface="+mn-cs"/>
              </a:defRPr>
            </a:pPr>
            <a:endParaRPr lang="de-DE"/>
          </a:p>
        </c:txPr>
        <c:crossAx val="1790474304"/>
        <c:crosses val="autoZero"/>
        <c:auto val="0"/>
        <c:lblAlgn val="ctr"/>
        <c:lblOffset val="100"/>
        <c:tickLblSkip val="1"/>
        <c:noMultiLvlLbl val="0"/>
      </c:catAx>
      <c:valAx>
        <c:axId val="1790474304"/>
        <c:scaling>
          <c:orientation val="minMax"/>
        </c:scaling>
        <c:delete val="0"/>
        <c:axPos val="l"/>
        <c:numFmt formatCode="0.0\ &quot;t CO2e&quot;"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1790473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600" b="0" i="0" u="none" strike="noStrike" kern="1200" baseline="0">
              <a:ln>
                <a:noFill/>
              </a:ln>
              <a:solidFill>
                <a:schemeClr val="tx1">
                  <a:lumMod val="65000"/>
                  <a:lumOff val="35000"/>
                </a:schemeClr>
              </a:solidFill>
              <a:latin typeface="+mn-lt"/>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de-DE" sz="1800"/>
              <a:t>CO</a:t>
            </a:r>
            <a:r>
              <a:rPr lang="de-DE" sz="1800" baseline="-25000"/>
              <a:t>2</a:t>
            </a:r>
            <a:r>
              <a:rPr lang="de-DE" sz="1800"/>
              <a:t>-Reduktionspfad ohne Kompensationsmaßnahmen</a:t>
            </a:r>
          </a:p>
        </c:rich>
      </c:tx>
      <c:layout>
        <c:manualLayout>
          <c:xMode val="edge"/>
          <c:yMode val="edge"/>
          <c:x val="0.33299244307800852"/>
          <c:y val="2.5751776374017758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6500342714972152"/>
          <c:y val="0.13939599812932266"/>
          <c:w val="0.83499657285027851"/>
          <c:h val="0.63191003160228731"/>
        </c:manualLayout>
      </c:layout>
      <c:barChart>
        <c:barDir val="col"/>
        <c:grouping val="clustered"/>
        <c:varyColors val="0"/>
        <c:ser>
          <c:idx val="0"/>
          <c:order val="1"/>
          <c:tx>
            <c:strRef>
              <c:f>'CO2-Reduktionspfad'!$S$24</c:f>
              <c:strCache>
                <c:ptCount val="1"/>
                <c:pt idx="0">
                  <c:v>Real ohne Kompensation</c:v>
                </c:pt>
              </c:strCache>
            </c:strRef>
          </c:tx>
          <c:spPr>
            <a:solidFill>
              <a:schemeClr val="accent1"/>
            </a:solidFill>
            <a:ln w="38100">
              <a:noFill/>
            </a:ln>
            <a:effectLst/>
          </c:spPr>
          <c:invertIfNegative val="0"/>
          <c:cat>
            <c:numRef>
              <c:f>'CO2-Reduktionspfad'!$D$22:$N$22</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'CO2-Reduktionspfad'!$D$24:$N$24</c:f>
              <c:numCache>
                <c:formatCode>0\ "t CO2e"</c:formatCode>
                <c:ptCount val="11"/>
                <c:pt idx="0">
                  <c:v>415</c:v>
                </c:pt>
              </c:numCache>
            </c:numRef>
          </c:val>
          <c:extLst>
            <c:ext xmlns:c16="http://schemas.microsoft.com/office/drawing/2014/chart" uri="{C3380CC4-5D6E-409C-BE32-E72D297353CC}">
              <c16:uniqueId val="{00000000-E224-4FDB-9671-8A6FB2C6AA08}"/>
            </c:ext>
          </c:extLst>
        </c:ser>
        <c:dLbls>
          <c:showLegendKey val="0"/>
          <c:showVal val="0"/>
          <c:showCatName val="0"/>
          <c:showSerName val="0"/>
          <c:showPercent val="0"/>
          <c:showBubbleSize val="0"/>
        </c:dLbls>
        <c:gapWidth val="150"/>
        <c:axId val="1790473888"/>
        <c:axId val="1790474304"/>
      </c:barChart>
      <c:lineChart>
        <c:grouping val="standard"/>
        <c:varyColors val="0"/>
        <c:ser>
          <c:idx val="1"/>
          <c:order val="0"/>
          <c:tx>
            <c:strRef>
              <c:f>'CO2-Reduktionspfad'!$S$23</c:f>
              <c:strCache>
                <c:ptCount val="1"/>
                <c:pt idx="0">
                  <c:v>Ziele ohne Kompensation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'CO2-Reduktionspfad'!$D$22:$N$22</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'CO2-Reduktionspfad'!$D$23:$N$23</c:f>
              <c:numCache>
                <c:formatCode>0\ "t CO2e"</c:formatCode>
                <c:ptCount val="11"/>
                <c:pt idx="0">
                  <c:v>415.4</c:v>
                </c:pt>
                <c:pt idx="1">
                  <c:v>414.34879999999998</c:v>
                </c:pt>
                <c:pt idx="2">
                  <c:v>413.29759999999999</c:v>
                </c:pt>
                <c:pt idx="3">
                  <c:v>412.24639999999999</c:v>
                </c:pt>
                <c:pt idx="4">
                  <c:v>411.1952</c:v>
                </c:pt>
                <c:pt idx="5">
                  <c:v>410.14400000000001</c:v>
                </c:pt>
                <c:pt idx="6">
                  <c:v>409.09279999999995</c:v>
                </c:pt>
                <c:pt idx="7">
                  <c:v>408.04159999999996</c:v>
                </c:pt>
                <c:pt idx="8">
                  <c:v>406.99039999999997</c:v>
                </c:pt>
                <c:pt idx="9">
                  <c:v>405.93919999999997</c:v>
                </c:pt>
                <c:pt idx="10">
                  <c:v>404.88799999999998</c:v>
                </c:pt>
              </c:numCache>
            </c:numRef>
          </c:val>
          <c:smooth val="0"/>
          <c:extLst>
            <c:ext xmlns:c16="http://schemas.microsoft.com/office/drawing/2014/chart" uri="{C3380CC4-5D6E-409C-BE32-E72D297353CC}">
              <c16:uniqueId val="{00000001-E224-4FDB-9671-8A6FB2C6AA08}"/>
            </c:ext>
          </c:extLst>
        </c:ser>
        <c:dLbls>
          <c:showLegendKey val="0"/>
          <c:showVal val="0"/>
          <c:showCatName val="0"/>
          <c:showSerName val="0"/>
          <c:showPercent val="0"/>
          <c:showBubbleSize val="0"/>
        </c:dLbls>
        <c:marker val="1"/>
        <c:smooth val="0"/>
        <c:axId val="1790473888"/>
        <c:axId val="1790474304"/>
      </c:lineChart>
      <c:catAx>
        <c:axId val="1790473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790474304"/>
        <c:crosses val="autoZero"/>
        <c:auto val="0"/>
        <c:lblAlgn val="ctr"/>
        <c:lblOffset val="100"/>
        <c:tickLblSkip val="1"/>
        <c:noMultiLvlLbl val="0"/>
      </c:catAx>
      <c:valAx>
        <c:axId val="17904743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quot;t CO2e&quot;"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790473888"/>
        <c:crosses val="autoZero"/>
        <c:crossBetween val="between"/>
        <c:majorUnit val="50"/>
        <c:minorUnit val="1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de-DE"/>
          </a:p>
        </c:txPr>
      </c:dTable>
      <c:spPr>
        <a:noFill/>
        <a:ln>
          <a:noFill/>
        </a:ln>
        <a:effectLst/>
      </c:spPr>
    </c:plotArea>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60" b="0" i="0" u="none" strike="noStrike" kern="1200" spc="0" baseline="0">
                <a:solidFill>
                  <a:schemeClr val="tx1">
                    <a:lumMod val="65000"/>
                    <a:lumOff val="35000"/>
                  </a:schemeClr>
                </a:solidFill>
                <a:latin typeface="+mn-lt"/>
                <a:ea typeface="+mn-ea"/>
                <a:cs typeface="+mn-cs"/>
              </a:defRPr>
            </a:pPr>
            <a:r>
              <a:rPr lang="de-DE" sz="1800"/>
              <a:t>CO</a:t>
            </a:r>
            <a:r>
              <a:rPr lang="de-DE" sz="1800" baseline="-25000"/>
              <a:t>2</a:t>
            </a:r>
            <a:r>
              <a:rPr lang="de-DE" sz="1800"/>
              <a:t>-Reduktionspfad mit Kompensationsmaßnahmen</a:t>
            </a:r>
          </a:p>
        </c:rich>
      </c:tx>
      <c:layout>
        <c:manualLayout>
          <c:xMode val="edge"/>
          <c:yMode val="edge"/>
          <c:x val="0.30143086369194311"/>
          <c:y val="3.2643173912084197E-2"/>
        </c:manualLayout>
      </c:layout>
      <c:overlay val="0"/>
      <c:spPr>
        <a:noFill/>
        <a:ln>
          <a:noFill/>
        </a:ln>
        <a:effectLst/>
      </c:spPr>
      <c:txPr>
        <a:bodyPr rot="0" spcFirstLastPara="1" vertOverflow="ellipsis" vert="horz" wrap="square" anchor="ctr" anchorCtr="1"/>
        <a:lstStyle/>
        <a:p>
          <a:pPr>
            <a:defRPr lang="en-US" sz="126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6362489330225774"/>
          <c:y val="0.12584702403661532"/>
          <c:w val="0.83637510669774229"/>
          <c:h val="0.64273228841771401"/>
        </c:manualLayout>
      </c:layout>
      <c:barChart>
        <c:barDir val="col"/>
        <c:grouping val="clustered"/>
        <c:varyColors val="0"/>
        <c:ser>
          <c:idx val="0"/>
          <c:order val="1"/>
          <c:tx>
            <c:strRef>
              <c:f>'CO2-Reduktionspfad'!$S$26</c:f>
              <c:strCache>
                <c:ptCount val="1"/>
                <c:pt idx="0">
                  <c:v>Real mit Kompensation</c:v>
                </c:pt>
              </c:strCache>
            </c:strRef>
          </c:tx>
          <c:spPr>
            <a:solidFill>
              <a:schemeClr val="accent1"/>
            </a:solidFill>
            <a:ln>
              <a:noFill/>
            </a:ln>
            <a:effectLst/>
          </c:spPr>
          <c:invertIfNegative val="0"/>
          <c:cat>
            <c:numRef>
              <c:f>'CO2-Reduktionspfad'!$D$22:$N$22</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'CO2-Reduktionspfad'!$D$26:$N$26</c:f>
              <c:numCache>
                <c:formatCode>0\ "t CO2e"</c:formatCode>
                <c:ptCount val="11"/>
                <c:pt idx="0">
                  <c:v>415</c:v>
                </c:pt>
              </c:numCache>
            </c:numRef>
          </c:val>
          <c:extLst>
            <c:ext xmlns:c16="http://schemas.microsoft.com/office/drawing/2014/chart" uri="{C3380CC4-5D6E-409C-BE32-E72D297353CC}">
              <c16:uniqueId val="{00000000-1B68-4696-9C68-7FBAD496D94A}"/>
            </c:ext>
          </c:extLst>
        </c:ser>
        <c:dLbls>
          <c:showLegendKey val="0"/>
          <c:showVal val="0"/>
          <c:showCatName val="0"/>
          <c:showSerName val="0"/>
          <c:showPercent val="0"/>
          <c:showBubbleSize val="0"/>
        </c:dLbls>
        <c:gapWidth val="150"/>
        <c:axId val="1790473888"/>
        <c:axId val="1790474304"/>
      </c:barChart>
      <c:lineChart>
        <c:grouping val="standard"/>
        <c:varyColors val="0"/>
        <c:ser>
          <c:idx val="1"/>
          <c:order val="0"/>
          <c:tx>
            <c:strRef>
              <c:f>'CO2-Reduktionspfad'!$S$25</c:f>
              <c:strCache>
                <c:ptCount val="1"/>
                <c:pt idx="0">
                  <c:v>Ziele mit Kompensation</c:v>
                </c:pt>
              </c:strCache>
            </c:strRef>
          </c:tx>
          <c:spPr>
            <a:ln w="28575" cap="rnd">
              <a:solidFill>
                <a:schemeClr val="accent2"/>
              </a:solidFill>
              <a:round/>
            </a:ln>
            <a:effectLst/>
          </c:spPr>
          <c:marker>
            <c:symbol val="none"/>
          </c:marker>
          <c:cat>
            <c:numRef>
              <c:f>'CO2-Reduktionspfad'!$D$22:$N$22</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'CO2-Reduktionspfad'!$D$25:$N$25</c:f>
              <c:numCache>
                <c:formatCode>0\ "t CO2e"</c:formatCode>
                <c:ptCount val="11"/>
                <c:pt idx="0">
                  <c:v>415.4</c:v>
                </c:pt>
                <c:pt idx="1">
                  <c:v>414.34879999999998</c:v>
                </c:pt>
                <c:pt idx="2">
                  <c:v>413.29759999999999</c:v>
                </c:pt>
                <c:pt idx="3">
                  <c:v>412.24639999999999</c:v>
                </c:pt>
                <c:pt idx="4">
                  <c:v>411.1952</c:v>
                </c:pt>
                <c:pt idx="5">
                  <c:v>410.14400000000001</c:v>
                </c:pt>
                <c:pt idx="6">
                  <c:v>409.09279999999995</c:v>
                </c:pt>
                <c:pt idx="7">
                  <c:v>408.04159999999996</c:v>
                </c:pt>
                <c:pt idx="8">
                  <c:v>406.99039999999997</c:v>
                </c:pt>
                <c:pt idx="9">
                  <c:v>405.93919999999997</c:v>
                </c:pt>
                <c:pt idx="10">
                  <c:v>404.88799999999998</c:v>
                </c:pt>
              </c:numCache>
            </c:numRef>
          </c:val>
          <c:smooth val="0"/>
          <c:extLst>
            <c:ext xmlns:c16="http://schemas.microsoft.com/office/drawing/2014/chart" uri="{C3380CC4-5D6E-409C-BE32-E72D297353CC}">
              <c16:uniqueId val="{00000001-1B68-4696-9C68-7FBAD496D94A}"/>
            </c:ext>
          </c:extLst>
        </c:ser>
        <c:dLbls>
          <c:showLegendKey val="0"/>
          <c:showVal val="0"/>
          <c:showCatName val="0"/>
          <c:showSerName val="0"/>
          <c:showPercent val="0"/>
          <c:showBubbleSize val="0"/>
        </c:dLbls>
        <c:marker val="1"/>
        <c:smooth val="0"/>
        <c:axId val="1790473888"/>
        <c:axId val="1790474304"/>
      </c:lineChart>
      <c:catAx>
        <c:axId val="1790473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50" b="0" i="0" u="none" strike="noStrike" kern="1200" baseline="0">
                <a:solidFill>
                  <a:schemeClr val="tx1">
                    <a:lumMod val="65000"/>
                    <a:lumOff val="35000"/>
                  </a:schemeClr>
                </a:solidFill>
                <a:latin typeface="+mn-lt"/>
                <a:ea typeface="+mn-ea"/>
                <a:cs typeface="+mn-cs"/>
              </a:defRPr>
            </a:pPr>
            <a:endParaRPr lang="de-DE"/>
          </a:p>
        </c:txPr>
        <c:crossAx val="1790474304"/>
        <c:crosses val="autoZero"/>
        <c:auto val="0"/>
        <c:lblAlgn val="ctr"/>
        <c:lblOffset val="100"/>
        <c:tickLblSkip val="1"/>
        <c:noMultiLvlLbl val="0"/>
      </c:catAx>
      <c:valAx>
        <c:axId val="17904743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quot;t CO2e&quot;" sourceLinked="0"/>
        <c:majorTickMark val="none"/>
        <c:minorTickMark val="none"/>
        <c:tickLblPos val="nextTo"/>
        <c:spPr>
          <a:noFill/>
          <a:ln>
            <a:noFill/>
          </a:ln>
          <a:effectLst/>
        </c:spPr>
        <c:txPr>
          <a:bodyPr rot="-60000000" spcFirstLastPara="1" vertOverflow="ellipsis" vert="horz" wrap="square" anchor="ctr" anchorCtr="1"/>
          <a:lstStyle/>
          <a:p>
            <a:pPr>
              <a:defRPr lang="en-US" sz="1400" b="0" i="0" u="none" strike="noStrike" kern="1200" baseline="0">
                <a:solidFill>
                  <a:schemeClr val="tx1">
                    <a:lumMod val="65000"/>
                    <a:lumOff val="35000"/>
                  </a:schemeClr>
                </a:solidFill>
                <a:latin typeface="+mn-lt"/>
                <a:ea typeface="+mn-ea"/>
                <a:cs typeface="+mn-cs"/>
              </a:defRPr>
            </a:pPr>
            <a:endParaRPr lang="de-DE"/>
          </a:p>
        </c:txPr>
        <c:crossAx val="1790473888"/>
        <c:crosses val="autoZero"/>
        <c:crossBetween val="between"/>
        <c:majorUnit val="50"/>
        <c:minorUnit val="1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n-US" sz="1050" b="0" i="0" u="none" strike="noStrike" kern="1200" baseline="0">
                <a:solidFill>
                  <a:schemeClr val="tx1">
                    <a:lumMod val="65000"/>
                    <a:lumOff val="35000"/>
                  </a:schemeClr>
                </a:solidFill>
                <a:latin typeface="+mn-lt"/>
                <a:ea typeface="+mn-ea"/>
                <a:cs typeface="+mn-cs"/>
              </a:defRPr>
            </a:pPr>
            <a:endParaRPr lang="de-DE"/>
          </a:p>
        </c:txPr>
      </c:dTable>
      <c:spPr>
        <a:noFill/>
        <a:ln>
          <a:noFill/>
        </a:ln>
        <a:effectLst/>
      </c:spPr>
    </c:plotArea>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a:outerShdw blurRad="50800" dist="38100" dir="2700000" algn="tl" rotWithShape="0">
        <a:prstClr val="black">
          <a:alpha val="40000"/>
        </a:prstClr>
      </a:outerShdw>
    </a:effectLst>
  </c:spPr>
  <c:txPr>
    <a:bodyPr/>
    <a:lstStyle/>
    <a:p>
      <a:pPr algn="ctr" rtl="0">
        <a:defRPr lang="en-US" sz="1050" b="0" i="0" u="none" strike="noStrike" kern="1200" baseline="0">
          <a:solidFill>
            <a:schemeClr val="tx1">
              <a:lumMod val="65000"/>
              <a:lumOff val="35000"/>
            </a:schemeClr>
          </a:solidFill>
          <a:latin typeface="+mn-lt"/>
          <a:ea typeface="+mn-ea"/>
          <a:cs typeface="+mn-cs"/>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g"/><Relationship Id="rId5" Type="http://schemas.openxmlformats.org/officeDocument/2006/relationships/image" Target="../media/image2.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sv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8.png"/><Relationship Id="rId5" Type="http://schemas.openxmlformats.org/officeDocument/2006/relationships/image" Target="../media/image7.sv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image" Target="../media/image7.sv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4.svg"/><Relationship Id="rId1" Type="http://schemas.openxmlformats.org/officeDocument/2006/relationships/image" Target="../media/image13.png"/><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image" Target="../media/image7.sv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6.svg"/><Relationship Id="rId1" Type="http://schemas.openxmlformats.org/officeDocument/2006/relationships/image" Target="../media/image15.png"/><Relationship Id="rId6" Type="http://schemas.openxmlformats.org/officeDocument/2006/relationships/image" Target="../media/image7.svg"/><Relationship Id="rId5" Type="http://schemas.openxmlformats.org/officeDocument/2006/relationships/image" Target="../media/image6.png"/><Relationship Id="rId4" Type="http://schemas.openxmlformats.org/officeDocument/2006/relationships/image" Target="../media/image5.sv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8.svg"/><Relationship Id="rId1" Type="http://schemas.openxmlformats.org/officeDocument/2006/relationships/image" Target="../media/image17.png"/><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image" Target="../media/image7.sv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0.svg"/><Relationship Id="rId1" Type="http://schemas.openxmlformats.org/officeDocument/2006/relationships/image" Target="../media/image19.png"/><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image" Target="../media/image7.svg"/></Relationships>
</file>

<file path=xl/drawings/_rels/drawing11.xml.rels><?xml version="1.0" encoding="UTF-8" standalone="yes"?>
<Relationships xmlns="http://schemas.openxmlformats.org/package/2006/relationships"><Relationship Id="rId13" Type="http://schemas.openxmlformats.org/officeDocument/2006/relationships/hyperlink" Target="https://17ziele.de/ziele/4.html" TargetMode="External"/><Relationship Id="rId18" Type="http://schemas.openxmlformats.org/officeDocument/2006/relationships/image" Target="../media/image31.svg"/><Relationship Id="rId26" Type="http://schemas.openxmlformats.org/officeDocument/2006/relationships/image" Target="../media/image36.png"/><Relationship Id="rId39" Type="http://schemas.openxmlformats.org/officeDocument/2006/relationships/image" Target="../media/image45.svg"/><Relationship Id="rId21" Type="http://schemas.openxmlformats.org/officeDocument/2006/relationships/image" Target="../media/image33.svg"/><Relationship Id="rId34" Type="http://schemas.openxmlformats.org/officeDocument/2006/relationships/hyperlink" Target="https://17ziele.de/ziele/11.html" TargetMode="External"/><Relationship Id="rId42" Type="http://schemas.openxmlformats.org/officeDocument/2006/relationships/image" Target="../media/image47.svg"/><Relationship Id="rId47" Type="http://schemas.openxmlformats.org/officeDocument/2006/relationships/image" Target="../media/image50.png"/><Relationship Id="rId50" Type="http://schemas.openxmlformats.org/officeDocument/2006/relationships/image" Target="../media/image52.png"/><Relationship Id="rId55" Type="http://schemas.openxmlformats.org/officeDocument/2006/relationships/image" Target="../media/image56.png"/><Relationship Id="rId7" Type="http://schemas.openxmlformats.org/officeDocument/2006/relationships/hyperlink" Target="https://17ziele.de/ziele/2.html" TargetMode="External"/><Relationship Id="rId2" Type="http://schemas.openxmlformats.org/officeDocument/2006/relationships/image" Target="../media/image5.svg"/><Relationship Id="rId16" Type="http://schemas.openxmlformats.org/officeDocument/2006/relationships/hyperlink" Target="https://17ziele.de/ziele/5.html" TargetMode="External"/><Relationship Id="rId29" Type="http://schemas.openxmlformats.org/officeDocument/2006/relationships/image" Target="../media/image38.png"/><Relationship Id="rId11" Type="http://schemas.openxmlformats.org/officeDocument/2006/relationships/image" Target="../media/image26.png"/><Relationship Id="rId24" Type="http://schemas.openxmlformats.org/officeDocument/2006/relationships/image" Target="../media/image35.svg"/><Relationship Id="rId32" Type="http://schemas.openxmlformats.org/officeDocument/2006/relationships/image" Target="../media/image40.png"/><Relationship Id="rId37" Type="http://schemas.openxmlformats.org/officeDocument/2006/relationships/hyperlink" Target="https://17ziele.de/ziele/12.html" TargetMode="External"/><Relationship Id="rId40" Type="http://schemas.openxmlformats.org/officeDocument/2006/relationships/hyperlink" Target="https://17ziele.de/ziele/13.html" TargetMode="External"/><Relationship Id="rId45" Type="http://schemas.openxmlformats.org/officeDocument/2006/relationships/image" Target="../media/image49.svg"/><Relationship Id="rId53" Type="http://schemas.openxmlformats.org/officeDocument/2006/relationships/image" Target="../media/image54.png"/><Relationship Id="rId5" Type="http://schemas.openxmlformats.org/officeDocument/2006/relationships/image" Target="../media/image22.png"/><Relationship Id="rId10" Type="http://schemas.openxmlformats.org/officeDocument/2006/relationships/hyperlink" Target="https://17ziele.de/ziele/3.html" TargetMode="External"/><Relationship Id="rId19" Type="http://schemas.openxmlformats.org/officeDocument/2006/relationships/hyperlink" Target="https://17ziele.de/ziele/6.html" TargetMode="External"/><Relationship Id="rId31" Type="http://schemas.openxmlformats.org/officeDocument/2006/relationships/hyperlink" Target="https://17ziele.de/ziele/10.html" TargetMode="External"/><Relationship Id="rId44" Type="http://schemas.openxmlformats.org/officeDocument/2006/relationships/image" Target="../media/image48.png"/><Relationship Id="rId52" Type="http://schemas.openxmlformats.org/officeDocument/2006/relationships/hyperlink" Target="https://17ziele.de/ziele/17.html" TargetMode="External"/><Relationship Id="rId4" Type="http://schemas.openxmlformats.org/officeDocument/2006/relationships/hyperlink" Target="https://17ziele.de/ziele/1.html" TargetMode="External"/><Relationship Id="rId9" Type="http://schemas.openxmlformats.org/officeDocument/2006/relationships/image" Target="../media/image25.svg"/><Relationship Id="rId14" Type="http://schemas.openxmlformats.org/officeDocument/2006/relationships/image" Target="../media/image28.png"/><Relationship Id="rId22" Type="http://schemas.openxmlformats.org/officeDocument/2006/relationships/hyperlink" Target="https://17ziele.de/ziele/7.html" TargetMode="External"/><Relationship Id="rId27" Type="http://schemas.openxmlformats.org/officeDocument/2006/relationships/image" Target="../media/image37.svg"/><Relationship Id="rId30" Type="http://schemas.openxmlformats.org/officeDocument/2006/relationships/image" Target="../media/image39.svg"/><Relationship Id="rId35" Type="http://schemas.openxmlformats.org/officeDocument/2006/relationships/image" Target="../media/image42.png"/><Relationship Id="rId43" Type="http://schemas.openxmlformats.org/officeDocument/2006/relationships/hyperlink" Target="https://17ziele.de/ziele/14.html" TargetMode="External"/><Relationship Id="rId48" Type="http://schemas.openxmlformats.org/officeDocument/2006/relationships/image" Target="../media/image51.svg"/><Relationship Id="rId56" Type="http://schemas.openxmlformats.org/officeDocument/2006/relationships/image" Target="../media/image57.svg"/><Relationship Id="rId8" Type="http://schemas.openxmlformats.org/officeDocument/2006/relationships/image" Target="../media/image24.png"/><Relationship Id="rId51" Type="http://schemas.openxmlformats.org/officeDocument/2006/relationships/image" Target="../media/image53.svg"/><Relationship Id="rId3" Type="http://schemas.openxmlformats.org/officeDocument/2006/relationships/image" Target="../media/image21.png"/><Relationship Id="rId12" Type="http://schemas.openxmlformats.org/officeDocument/2006/relationships/image" Target="../media/image27.svg"/><Relationship Id="rId17" Type="http://schemas.openxmlformats.org/officeDocument/2006/relationships/image" Target="../media/image30.png"/><Relationship Id="rId25" Type="http://schemas.openxmlformats.org/officeDocument/2006/relationships/hyperlink" Target="https://17ziele.de/ziele/8.html" TargetMode="External"/><Relationship Id="rId33" Type="http://schemas.openxmlformats.org/officeDocument/2006/relationships/image" Target="../media/image41.svg"/><Relationship Id="rId38" Type="http://schemas.openxmlformats.org/officeDocument/2006/relationships/image" Target="../media/image44.png"/><Relationship Id="rId46" Type="http://schemas.openxmlformats.org/officeDocument/2006/relationships/hyperlink" Target="https://17ziele.de/ziele/15.html" TargetMode="External"/><Relationship Id="rId20" Type="http://schemas.openxmlformats.org/officeDocument/2006/relationships/image" Target="../media/image32.png"/><Relationship Id="rId41" Type="http://schemas.openxmlformats.org/officeDocument/2006/relationships/image" Target="../media/image46.png"/><Relationship Id="rId54" Type="http://schemas.openxmlformats.org/officeDocument/2006/relationships/image" Target="../media/image55.svg"/><Relationship Id="rId1" Type="http://schemas.openxmlformats.org/officeDocument/2006/relationships/image" Target="../media/image4.png"/><Relationship Id="rId6" Type="http://schemas.openxmlformats.org/officeDocument/2006/relationships/image" Target="../media/image23.svg"/><Relationship Id="rId15" Type="http://schemas.openxmlformats.org/officeDocument/2006/relationships/image" Target="../media/image29.svg"/><Relationship Id="rId23" Type="http://schemas.openxmlformats.org/officeDocument/2006/relationships/image" Target="../media/image34.png"/><Relationship Id="rId28" Type="http://schemas.openxmlformats.org/officeDocument/2006/relationships/hyperlink" Target="https://17ziele.de/ziele/9.html" TargetMode="External"/><Relationship Id="rId36" Type="http://schemas.openxmlformats.org/officeDocument/2006/relationships/image" Target="../media/image43.svg"/><Relationship Id="rId49" Type="http://schemas.openxmlformats.org/officeDocument/2006/relationships/hyperlink" Target="https://17ziele.de/ziele/16.html"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media/image58.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59.sv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1.svg"/><Relationship Id="rId1" Type="http://schemas.openxmlformats.org/officeDocument/2006/relationships/image" Target="../media/image60.png"/><Relationship Id="rId4" Type="http://schemas.openxmlformats.org/officeDocument/2006/relationships/image" Target="../media/image5.sv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image" Target="../media/image6.png"/><Relationship Id="rId7" Type="http://schemas.openxmlformats.org/officeDocument/2006/relationships/image" Target="../media/image4.png"/><Relationship Id="rId2" Type="http://schemas.openxmlformats.org/officeDocument/2006/relationships/image" Target="../media/image63.svg"/><Relationship Id="rId1" Type="http://schemas.openxmlformats.org/officeDocument/2006/relationships/image" Target="../media/image62.png"/><Relationship Id="rId6" Type="http://schemas.openxmlformats.org/officeDocument/2006/relationships/image" Target="../media/image65.svg"/><Relationship Id="rId5" Type="http://schemas.openxmlformats.org/officeDocument/2006/relationships/image" Target="../media/image64.png"/><Relationship Id="rId10" Type="http://schemas.openxmlformats.org/officeDocument/2006/relationships/chart" Target="../charts/chart6.xml"/><Relationship Id="rId4" Type="http://schemas.openxmlformats.org/officeDocument/2006/relationships/image" Target="../media/image7.svg"/><Relationship Id="rId9" Type="http://schemas.openxmlformats.org/officeDocument/2006/relationships/chart" Target="../charts/chart5.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66.png"/></Relationships>
</file>

<file path=xl/drawings/drawing1.xml><?xml version="1.0" encoding="utf-8"?>
<xdr:wsDr xmlns:xdr="http://schemas.openxmlformats.org/drawingml/2006/spreadsheetDrawing" xmlns:a="http://schemas.openxmlformats.org/drawingml/2006/main">
  <xdr:twoCellAnchor editAs="oneCell">
    <xdr:from>
      <xdr:col>8</xdr:col>
      <xdr:colOff>913454</xdr:colOff>
      <xdr:row>1</xdr:row>
      <xdr:rowOff>88152</xdr:rowOff>
    </xdr:from>
    <xdr:to>
      <xdr:col>12</xdr:col>
      <xdr:colOff>61646</xdr:colOff>
      <xdr:row>5</xdr:row>
      <xdr:rowOff>48909</xdr:rowOff>
    </xdr:to>
    <xdr:pic>
      <xdr:nvPicPr>
        <xdr:cNvPr id="17" name="Grafik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03025" y="278652"/>
          <a:ext cx="2590800" cy="865632"/>
        </a:xfrm>
        <a:prstGeom prst="rect">
          <a:avLst/>
        </a:prstGeom>
      </xdr:spPr>
    </xdr:pic>
    <xdr:clientData/>
  </xdr:twoCellAnchor>
  <xdr:twoCellAnchor>
    <xdr:from>
      <xdr:col>1</xdr:col>
      <xdr:colOff>1251857</xdr:colOff>
      <xdr:row>23</xdr:row>
      <xdr:rowOff>176893</xdr:rowOff>
    </xdr:from>
    <xdr:to>
      <xdr:col>5</xdr:col>
      <xdr:colOff>256443</xdr:colOff>
      <xdr:row>35</xdr:row>
      <xdr:rowOff>176892</xdr:rowOff>
    </xdr:to>
    <xdr:sp macro="" textlink="">
      <xdr:nvSpPr>
        <xdr:cNvPr id="16" name="Rechteck: abgerundete Ecken 15">
          <a:extLst>
            <a:ext uri="{FF2B5EF4-FFF2-40B4-BE49-F238E27FC236}">
              <a16:creationId xmlns:a16="http://schemas.microsoft.com/office/drawing/2014/main" id="{00000000-0008-0000-0000-000010000000}"/>
            </a:ext>
          </a:extLst>
        </xdr:cNvPr>
        <xdr:cNvSpPr/>
      </xdr:nvSpPr>
      <xdr:spPr>
        <a:xfrm>
          <a:off x="2013857" y="6994072"/>
          <a:ext cx="5644872" cy="3034391"/>
        </a:xfrm>
        <a:prstGeom prst="roundRect">
          <a:avLst>
            <a:gd name="adj" fmla="val 5238"/>
          </a:avLst>
        </a:prstGeom>
        <a:noFill/>
        <a:ln w="19050">
          <a:solidFill>
            <a:schemeClr val="tx2"/>
          </a:solidFill>
        </a:ln>
        <a:effectLst>
          <a:softEdge rad="0"/>
        </a:effectLst>
        <a:scene3d>
          <a:camera prst="orthographicFront"/>
          <a:lightRig rig="threePt" dir="t"/>
        </a:scene3d>
        <a:sp3d>
          <a:bevelT w="165100" prst="coolSlant"/>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293532</xdr:colOff>
      <xdr:row>23</xdr:row>
      <xdr:rowOff>189319</xdr:rowOff>
    </xdr:from>
    <xdr:to>
      <xdr:col>11</xdr:col>
      <xdr:colOff>616583</xdr:colOff>
      <xdr:row>36</xdr:row>
      <xdr:rowOff>0</xdr:rowOff>
    </xdr:to>
    <xdr:graphicFrame macro="">
      <xdr:nvGraphicFramePr>
        <xdr:cNvPr id="20" name="Diagramm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1183822</xdr:colOff>
      <xdr:row>39</xdr:row>
      <xdr:rowOff>176893</xdr:rowOff>
    </xdr:from>
    <xdr:to>
      <xdr:col>5</xdr:col>
      <xdr:colOff>242836</xdr:colOff>
      <xdr:row>52</xdr:row>
      <xdr:rowOff>176892</xdr:rowOff>
    </xdr:to>
    <xdr:sp macro="" textlink="">
      <xdr:nvSpPr>
        <xdr:cNvPr id="7" name="Rechteck: abgerundete Ecken 6">
          <a:extLst>
            <a:ext uri="{FF2B5EF4-FFF2-40B4-BE49-F238E27FC236}">
              <a16:creationId xmlns:a16="http://schemas.microsoft.com/office/drawing/2014/main" id="{454BABDB-607B-411E-9AD5-673F0F821049}"/>
            </a:ext>
          </a:extLst>
        </xdr:cNvPr>
        <xdr:cNvSpPr/>
      </xdr:nvSpPr>
      <xdr:spPr>
        <a:xfrm>
          <a:off x="1945822" y="11334750"/>
          <a:ext cx="5699300" cy="2966356"/>
        </a:xfrm>
        <a:prstGeom prst="roundRect">
          <a:avLst>
            <a:gd name="adj" fmla="val 5238"/>
          </a:avLst>
        </a:prstGeom>
        <a:noFill/>
        <a:ln w="19050">
          <a:solidFill>
            <a:schemeClr val="tx2"/>
          </a:solidFill>
        </a:ln>
        <a:effectLst>
          <a:softEdge rad="0"/>
        </a:effectLst>
        <a:scene3d>
          <a:camera prst="orthographicFront"/>
          <a:lightRig rig="threePt" dir="t"/>
        </a:scene3d>
        <a:sp3d>
          <a:bevelT w="165100" prst="coolSlant"/>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293532</xdr:colOff>
      <xdr:row>39</xdr:row>
      <xdr:rowOff>189319</xdr:rowOff>
    </xdr:from>
    <xdr:to>
      <xdr:col>11</xdr:col>
      <xdr:colOff>616583</xdr:colOff>
      <xdr:row>53</xdr:row>
      <xdr:rowOff>0</xdr:rowOff>
    </xdr:to>
    <xdr:graphicFrame macro="">
      <xdr:nvGraphicFramePr>
        <xdr:cNvPr id="8" name="Diagramm 7">
          <a:extLst>
            <a:ext uri="{FF2B5EF4-FFF2-40B4-BE49-F238E27FC236}">
              <a16:creationId xmlns:a16="http://schemas.microsoft.com/office/drawing/2014/main" id="{2C915676-DD82-40B4-9A68-D239DF37EF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1047750</xdr:colOff>
      <xdr:row>57</xdr:row>
      <xdr:rowOff>176893</xdr:rowOff>
    </xdr:from>
    <xdr:to>
      <xdr:col>5</xdr:col>
      <xdr:colOff>256443</xdr:colOff>
      <xdr:row>70</xdr:row>
      <xdr:rowOff>176892</xdr:rowOff>
    </xdr:to>
    <xdr:sp macro="" textlink="">
      <xdr:nvSpPr>
        <xdr:cNvPr id="10" name="Rechteck: abgerundete Ecken 9">
          <a:extLst>
            <a:ext uri="{FF2B5EF4-FFF2-40B4-BE49-F238E27FC236}">
              <a16:creationId xmlns:a16="http://schemas.microsoft.com/office/drawing/2014/main" id="{A5899BE4-A135-4794-9104-F069C8CF6D29}"/>
            </a:ext>
          </a:extLst>
        </xdr:cNvPr>
        <xdr:cNvSpPr/>
      </xdr:nvSpPr>
      <xdr:spPr>
        <a:xfrm>
          <a:off x="1809750" y="16423822"/>
          <a:ext cx="5848979" cy="2966356"/>
        </a:xfrm>
        <a:prstGeom prst="roundRect">
          <a:avLst>
            <a:gd name="adj" fmla="val 5238"/>
          </a:avLst>
        </a:prstGeom>
        <a:noFill/>
        <a:ln w="19050">
          <a:solidFill>
            <a:schemeClr val="tx2"/>
          </a:solidFill>
        </a:ln>
        <a:effectLst>
          <a:softEdge rad="0"/>
        </a:effectLst>
        <a:scene3d>
          <a:camera prst="orthographicFront"/>
          <a:lightRig rig="threePt" dir="t"/>
        </a:scene3d>
        <a:sp3d>
          <a:bevelT w="165100" prst="coolSlant"/>
        </a:sp3d>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293532</xdr:colOff>
      <xdr:row>57</xdr:row>
      <xdr:rowOff>189319</xdr:rowOff>
    </xdr:from>
    <xdr:to>
      <xdr:col>11</xdr:col>
      <xdr:colOff>616583</xdr:colOff>
      <xdr:row>71</xdr:row>
      <xdr:rowOff>0</xdr:rowOff>
    </xdr:to>
    <xdr:graphicFrame macro="">
      <xdr:nvGraphicFramePr>
        <xdr:cNvPr id="15" name="Diagramm 14">
          <a:extLst>
            <a:ext uri="{FF2B5EF4-FFF2-40B4-BE49-F238E27FC236}">
              <a16:creationId xmlns:a16="http://schemas.microsoft.com/office/drawing/2014/main" id="{08CD1768-5B60-4F28-8D19-59E0C9DF3C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6</xdr:row>
      <xdr:rowOff>0</xdr:rowOff>
    </xdr:from>
    <xdr:to>
      <xdr:col>11</xdr:col>
      <xdr:colOff>708341</xdr:colOff>
      <xdr:row>7</xdr:row>
      <xdr:rowOff>163286</xdr:rowOff>
    </xdr:to>
    <xdr:pic>
      <xdr:nvPicPr>
        <xdr:cNvPr id="4" name="Grafik 3">
          <a:extLst>
            <a:ext uri="{FF2B5EF4-FFF2-40B4-BE49-F238E27FC236}">
              <a16:creationId xmlns:a16="http://schemas.microsoft.com/office/drawing/2014/main" id="{2E9309A4-2984-1E1A-05F0-F2D5BA12F0AD}"/>
            </a:ext>
          </a:extLst>
        </xdr:cNvPr>
        <xdr:cNvPicPr>
          <a:picLocks noChangeAspect="1"/>
        </xdr:cNvPicPr>
      </xdr:nvPicPr>
      <xdr:blipFill>
        <a:blip xmlns:r="http://schemas.openxmlformats.org/officeDocument/2006/relationships" r:embed="rId5"/>
        <a:stretch>
          <a:fillRect/>
        </a:stretch>
      </xdr:blipFill>
      <xdr:spPr>
        <a:xfrm>
          <a:off x="762000" y="2217964"/>
          <a:ext cx="12655412" cy="353786"/>
        </a:xfrm>
        <a:prstGeom prst="rect">
          <a:avLst/>
        </a:prstGeom>
      </xdr:spPr>
    </xdr:pic>
    <xdr:clientData/>
  </xdr:twoCellAnchor>
  <xdr:twoCellAnchor>
    <xdr:from>
      <xdr:col>12</xdr:col>
      <xdr:colOff>526676</xdr:colOff>
      <xdr:row>6</xdr:row>
      <xdr:rowOff>22411</xdr:rowOff>
    </xdr:from>
    <xdr:to>
      <xdr:col>14</xdr:col>
      <xdr:colOff>100854</xdr:colOff>
      <xdr:row>20</xdr:row>
      <xdr:rowOff>1</xdr:rowOff>
    </xdr:to>
    <xdr:sp macro="" textlink="">
      <xdr:nvSpPr>
        <xdr:cNvPr id="2" name="Pfeil: nach unten 1">
          <a:extLst>
            <a:ext uri="{FF2B5EF4-FFF2-40B4-BE49-F238E27FC236}">
              <a16:creationId xmlns:a16="http://schemas.microsoft.com/office/drawing/2014/main" id="{447C1B54-8DF1-4B33-B77E-4272943564E3}"/>
            </a:ext>
          </a:extLst>
        </xdr:cNvPr>
        <xdr:cNvSpPr/>
      </xdr:nvSpPr>
      <xdr:spPr>
        <a:xfrm>
          <a:off x="14063382" y="1669676"/>
          <a:ext cx="1098178" cy="452717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de-DE" sz="2400" kern="1200"/>
            <a:t>Bitte ganz</a:t>
          </a:r>
          <a:r>
            <a:rPr lang="de-DE" sz="2400" kern="1200" baseline="0"/>
            <a:t> nach utnen scrollen</a:t>
          </a:r>
          <a:endParaRPr lang="de-DE" sz="24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192118</xdr:colOff>
      <xdr:row>28</xdr:row>
      <xdr:rowOff>238781</xdr:rowOff>
    </xdr:from>
    <xdr:to>
      <xdr:col>8</xdr:col>
      <xdr:colOff>1249245</xdr:colOff>
      <xdr:row>65</xdr:row>
      <xdr:rowOff>84844</xdr:rowOff>
    </xdr:to>
    <xdr:graphicFrame macro="">
      <xdr:nvGraphicFramePr>
        <xdr:cNvPr id="2" name="Diagramm 1">
          <a:extLst>
            <a:ext uri="{FF2B5EF4-FFF2-40B4-BE49-F238E27FC236}">
              <a16:creationId xmlns:a16="http://schemas.microsoft.com/office/drawing/2014/main" id="{9859C3CC-2B9A-4656-82A9-C97AD3098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155121</xdr:colOff>
      <xdr:row>5</xdr:row>
      <xdr:rowOff>179614</xdr:rowOff>
    </xdr:from>
    <xdr:to>
      <xdr:col>4</xdr:col>
      <xdr:colOff>755837</xdr:colOff>
      <xdr:row>9</xdr:row>
      <xdr:rowOff>123426</xdr:rowOff>
    </xdr:to>
    <xdr:sp macro="" textlink="">
      <xdr:nvSpPr>
        <xdr:cNvPr id="5" name="Pfeil: nach rechts 4">
          <a:extLst>
            <a:ext uri="{FF2B5EF4-FFF2-40B4-BE49-F238E27FC236}">
              <a16:creationId xmlns:a16="http://schemas.microsoft.com/office/drawing/2014/main" id="{551CEC53-A0D2-4BEC-A807-E19524749C89}"/>
            </a:ext>
          </a:extLst>
        </xdr:cNvPr>
        <xdr:cNvSpPr/>
      </xdr:nvSpPr>
      <xdr:spPr>
        <a:xfrm flipH="1">
          <a:off x="7693478" y="1526721"/>
          <a:ext cx="600716" cy="70581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2240</xdr:colOff>
      <xdr:row>0</xdr:row>
      <xdr:rowOff>76200</xdr:rowOff>
    </xdr:from>
    <xdr:to>
      <xdr:col>1</xdr:col>
      <xdr:colOff>324826</xdr:colOff>
      <xdr:row>3</xdr:row>
      <xdr:rowOff>139705</xdr:rowOff>
    </xdr:to>
    <xdr:pic>
      <xdr:nvPicPr>
        <xdr:cNvPr id="2" name="Grafik 1">
          <a:extLst>
            <a:ext uri="{FF2B5EF4-FFF2-40B4-BE49-F238E27FC236}">
              <a16:creationId xmlns:a16="http://schemas.microsoft.com/office/drawing/2014/main" id="{311A10B0-1831-4D60-845F-2C15651435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0" y="76200"/>
          <a:ext cx="644163" cy="635005"/>
        </a:xfrm>
        <a:prstGeom prst="rect">
          <a:avLst/>
        </a:prstGeom>
      </xdr:spPr>
    </xdr:pic>
    <xdr:clientData/>
  </xdr:twoCellAnchor>
  <xdr:twoCellAnchor>
    <xdr:from>
      <xdr:col>1</xdr:col>
      <xdr:colOff>493299</xdr:colOff>
      <xdr:row>1</xdr:row>
      <xdr:rowOff>19051</xdr:rowOff>
    </xdr:from>
    <xdr:to>
      <xdr:col>10</xdr:col>
      <xdr:colOff>0</xdr:colOff>
      <xdr:row>2</xdr:row>
      <xdr:rowOff>151921</xdr:rowOff>
    </xdr:to>
    <xdr:sp macro="" textlink="">
      <xdr:nvSpPr>
        <xdr:cNvPr id="3" name="Textfeld 2">
          <a:extLst>
            <a:ext uri="{FF2B5EF4-FFF2-40B4-BE49-F238E27FC236}">
              <a16:creationId xmlns:a16="http://schemas.microsoft.com/office/drawing/2014/main" id="{0F3A63DA-9490-4F5B-AAF8-732A8AA7061F}"/>
            </a:ext>
          </a:extLst>
        </xdr:cNvPr>
        <xdr:cNvSpPr txBox="1"/>
      </xdr:nvSpPr>
      <xdr:spPr>
        <a:xfrm>
          <a:off x="880649" y="209551"/>
          <a:ext cx="9210754"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Abfall</a:t>
          </a:r>
        </a:p>
      </xdr:txBody>
    </xdr:sp>
    <xdr:clientData/>
  </xdr:twoCellAnchor>
  <xdr:twoCellAnchor>
    <xdr:from>
      <xdr:col>12</xdr:col>
      <xdr:colOff>1069176</xdr:colOff>
      <xdr:row>1</xdr:row>
      <xdr:rowOff>27080</xdr:rowOff>
    </xdr:from>
    <xdr:to>
      <xdr:col>14</xdr:col>
      <xdr:colOff>1066262</xdr:colOff>
      <xdr:row>3</xdr:row>
      <xdr:rowOff>149544</xdr:rowOff>
    </xdr:to>
    <xdr:sp macro="" textlink="">
      <xdr:nvSpPr>
        <xdr:cNvPr id="4" name="Textfeld 3">
          <a:extLst>
            <a:ext uri="{FF2B5EF4-FFF2-40B4-BE49-F238E27FC236}">
              <a16:creationId xmlns:a16="http://schemas.microsoft.com/office/drawing/2014/main" id="{3D81BC94-0F55-401D-91F7-C128E76B6420}"/>
            </a:ext>
          </a:extLst>
        </xdr:cNvPr>
        <xdr:cNvSpPr txBox="1"/>
      </xdr:nvSpPr>
      <xdr:spPr>
        <a:xfrm>
          <a:off x="13356426" y="217580"/>
          <a:ext cx="4537336" cy="5034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Abfall</a:t>
          </a:r>
          <a:r>
            <a:rPr lang="de-DE" sz="1600"/>
            <a:t> </a:t>
          </a:r>
        </a:p>
      </xdr:txBody>
    </xdr:sp>
    <xdr:clientData/>
  </xdr:twoCellAnchor>
  <xdr:twoCellAnchor>
    <xdr:from>
      <xdr:col>0</xdr:col>
      <xdr:colOff>47626</xdr:colOff>
      <xdr:row>15</xdr:row>
      <xdr:rowOff>169066</xdr:rowOff>
    </xdr:from>
    <xdr:to>
      <xdr:col>10</xdr:col>
      <xdr:colOff>898071</xdr:colOff>
      <xdr:row>34</xdr:row>
      <xdr:rowOff>149679</xdr:rowOff>
    </xdr:to>
    <xdr:sp macro="" textlink="">
      <xdr:nvSpPr>
        <xdr:cNvPr id="5" name="Textfeld 4">
          <a:extLst>
            <a:ext uri="{FF2B5EF4-FFF2-40B4-BE49-F238E27FC236}">
              <a16:creationId xmlns:a16="http://schemas.microsoft.com/office/drawing/2014/main" id="{C9F38488-8358-4A78-AFE8-9AA3270F82CA}"/>
            </a:ext>
          </a:extLst>
        </xdr:cNvPr>
        <xdr:cNvSpPr txBox="1"/>
      </xdr:nvSpPr>
      <xdr:spPr>
        <a:xfrm>
          <a:off x="47626" y="6822959"/>
          <a:ext cx="10048874" cy="4035541"/>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Abfall</a:t>
          </a:r>
        </a:p>
        <a:p>
          <a:endParaRPr lang="de-DE" sz="900" baseline="0"/>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Aktion „müllfreies Pausenbrot“</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Aktion: Plastikfasten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Aktion: Ein Müllfreier Tag pro Monat</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Besichtigungen:</a:t>
          </a:r>
          <a:r>
            <a:rPr lang="de-DE" sz="1100" b="0" i="0" u="none" strike="noStrike" baseline="0">
              <a:solidFill>
                <a:schemeClr val="dk1"/>
              </a:solidFill>
              <a:effectLst/>
              <a:latin typeface="+mn-lt"/>
              <a:ea typeface="+mn-ea"/>
              <a:cs typeface="+mn-cs"/>
            </a:rPr>
            <a:t> Müllverbrennungsanlage, Sotieranlage, Recyclinghof, Recyclingbetrieb</a:t>
          </a:r>
          <a:endParaRPr lang="de-DE" sz="1100" b="0" i="0" u="none" strike="noStrike">
            <a:solidFill>
              <a:schemeClr val="dk1"/>
            </a:solidFill>
            <a:effectLst/>
            <a:latin typeface="+mn-lt"/>
            <a:ea typeface="+mn-ea"/>
            <a:cs typeface="+mn-cs"/>
          </a:endParaRP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Biomülltonne einführen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Druckerpatronen-Sammelaktion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Essensrestetonne einführen, z. B. für die Mensa</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Flohmarkt Handysammelaktion: Sammlung von Handys/Ladekabel etc. und Weitergabe an NABU</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Korksammelstelle einrichten (z.</a:t>
          </a:r>
          <a:r>
            <a:rPr lang="de-DE" sz="1100" b="0" i="0" u="none" strike="noStrike" baseline="0">
              <a:solidFill>
                <a:schemeClr val="dk1"/>
              </a:solidFill>
              <a:effectLst/>
              <a:latin typeface="+mn-lt"/>
              <a:ea typeface="+mn-ea"/>
              <a:cs typeface="+mn-cs"/>
            </a:rPr>
            <a:t> B. NABU-Korkkampagne)</a:t>
          </a:r>
          <a:endParaRPr lang="de-DE" sz="1100" b="0" i="0" u="none" strike="noStrike">
            <a:solidFill>
              <a:schemeClr val="dk1"/>
            </a:solidFill>
            <a:effectLst/>
            <a:latin typeface="+mn-lt"/>
            <a:ea typeface="+mn-ea"/>
            <a:cs typeface="+mn-cs"/>
          </a:endParaRP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Müllsammelaktionen mit einer oder mehreren Jahrgangstufen </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Mülltrennungssystem einführen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Müllvermeidungstraining für eine Jahrgangsstufe </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Müllanalyse </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Reparatur-Café</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Tauschregal (z.B. für alle Schulbücher, ...)</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Umsonstladen für Schulmaterialien: Angefangene Hefte und Blöcke, Stifte und gebrauchte Tafeln können kostenfrei mitgenommen werden.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Unterrichtseinheit zur korrekten Mülltrennung zur Sensibilisierung der Schülerinnen und Schüler</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Upcycling-Projekte</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Wachstücher herstellen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a:t>
          </a:r>
        </a:p>
        <a:p>
          <a:pPr marL="171450" indent="-171450" fontAlgn="ctr">
            <a:buFont typeface="Arial" panose="020B0604020202020204" pitchFamily="34" charset="0"/>
            <a:buChar char="•"/>
          </a:pPr>
          <a:endParaRPr lang="de-DE" sz="1100" b="0" i="0" u="none" strike="noStrike">
            <a:solidFill>
              <a:schemeClr val="dk1"/>
            </a:solidFill>
            <a:effectLst/>
            <a:latin typeface="+mn-lt"/>
            <a:ea typeface="+mn-ea"/>
            <a:cs typeface="+mn-cs"/>
          </a:endParaRPr>
        </a:p>
      </xdr:txBody>
    </xdr:sp>
    <xdr:clientData/>
  </xdr:twoCellAnchor>
  <xdr:twoCellAnchor editAs="oneCell">
    <xdr:from>
      <xdr:col>1</xdr:col>
      <xdr:colOff>72811</xdr:colOff>
      <xdr:row>36</xdr:row>
      <xdr:rowOff>61880</xdr:rowOff>
    </xdr:from>
    <xdr:to>
      <xdr:col>1</xdr:col>
      <xdr:colOff>1067980</xdr:colOff>
      <xdr:row>41</xdr:row>
      <xdr:rowOff>97068</xdr:rowOff>
    </xdr:to>
    <xdr:pic>
      <xdr:nvPicPr>
        <xdr:cNvPr id="6" name="Grafik 5">
          <a:extLst>
            <a:ext uri="{FF2B5EF4-FFF2-40B4-BE49-F238E27FC236}">
              <a16:creationId xmlns:a16="http://schemas.microsoft.com/office/drawing/2014/main" id="{675C54AC-B4F9-4E9D-A22B-D178CDE63C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rot="20918923">
          <a:off x="385775" y="11151701"/>
          <a:ext cx="995169" cy="987688"/>
        </a:xfrm>
        <a:prstGeom prst="rect">
          <a:avLst/>
        </a:prstGeom>
      </xdr:spPr>
    </xdr:pic>
    <xdr:clientData/>
  </xdr:twoCellAnchor>
  <xdr:twoCellAnchor>
    <xdr:from>
      <xdr:col>2</xdr:col>
      <xdr:colOff>56746</xdr:colOff>
      <xdr:row>36</xdr:row>
      <xdr:rowOff>111593</xdr:rowOff>
    </xdr:from>
    <xdr:to>
      <xdr:col>10</xdr:col>
      <xdr:colOff>108857</xdr:colOff>
      <xdr:row>41</xdr:row>
      <xdr:rowOff>80993</xdr:rowOff>
    </xdr:to>
    <xdr:sp macro="" textlink="">
      <xdr:nvSpPr>
        <xdr:cNvPr id="7" name="Rechteck: abgerundete Ecken 6">
          <a:extLst>
            <a:ext uri="{FF2B5EF4-FFF2-40B4-BE49-F238E27FC236}">
              <a16:creationId xmlns:a16="http://schemas.microsoft.com/office/drawing/2014/main" id="{3D9F8DD6-005F-4370-91E5-4BDBF013F44E}"/>
            </a:ext>
          </a:extLst>
        </xdr:cNvPr>
        <xdr:cNvSpPr/>
      </xdr:nvSpPr>
      <xdr:spPr>
        <a:xfrm>
          <a:off x="1689603" y="11201414"/>
          <a:ext cx="7617683" cy="921900"/>
        </a:xfrm>
        <a:prstGeom prst="roundRect">
          <a:avLst>
            <a:gd name="adj" fmla="val 9474"/>
          </a:avLst>
        </a:prstGeom>
        <a:solidFill>
          <a:srgbClr val="AA2120"/>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15</xdr:col>
      <xdr:colOff>1415637</xdr:colOff>
      <xdr:row>4</xdr:row>
      <xdr:rowOff>321155</xdr:rowOff>
    </xdr:from>
    <xdr:to>
      <xdr:col>16</xdr:col>
      <xdr:colOff>320922</xdr:colOff>
      <xdr:row>4</xdr:row>
      <xdr:rowOff>1109651</xdr:rowOff>
    </xdr:to>
    <xdr:pic>
      <xdr:nvPicPr>
        <xdr:cNvPr id="8" name="Grafik 7">
          <a:extLst>
            <a:ext uri="{FF2B5EF4-FFF2-40B4-BE49-F238E27FC236}">
              <a16:creationId xmlns:a16="http://schemas.microsoft.com/office/drawing/2014/main" id="{CF71DEBC-4C9B-4BE6-AD3A-ED49263C3D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rot="20918923">
          <a:off x="23772173" y="1083155"/>
          <a:ext cx="788671" cy="788496"/>
        </a:xfrm>
        <a:prstGeom prst="rect">
          <a:avLst/>
        </a:prstGeom>
      </xdr:spPr>
    </xdr:pic>
    <xdr:clientData/>
  </xdr:twoCellAnchor>
  <xdr:twoCellAnchor>
    <xdr:from>
      <xdr:col>12</xdr:col>
      <xdr:colOff>16564</xdr:colOff>
      <xdr:row>4</xdr:row>
      <xdr:rowOff>277895</xdr:rowOff>
    </xdr:from>
    <xdr:to>
      <xdr:col>15</xdr:col>
      <xdr:colOff>1170214</xdr:colOff>
      <xdr:row>4</xdr:row>
      <xdr:rowOff>1293752</xdr:rowOff>
    </xdr:to>
    <xdr:sp macro="" textlink="">
      <xdr:nvSpPr>
        <xdr:cNvPr id="9" name="Rechteck: abgerundete Ecken 8">
          <a:extLst>
            <a:ext uri="{FF2B5EF4-FFF2-40B4-BE49-F238E27FC236}">
              <a16:creationId xmlns:a16="http://schemas.microsoft.com/office/drawing/2014/main" id="{628582B4-4B5E-4A42-8D56-D509D400F0D5}"/>
            </a:ext>
          </a:extLst>
        </xdr:cNvPr>
        <xdr:cNvSpPr/>
      </xdr:nvSpPr>
      <xdr:spPr>
        <a:xfrm>
          <a:off x="13405993" y="1039895"/>
          <a:ext cx="10120757" cy="1015857"/>
        </a:xfrm>
        <a:prstGeom prst="roundRect">
          <a:avLst>
            <a:gd name="adj" fmla="val 9474"/>
          </a:avLst>
        </a:prstGeom>
        <a:solidFill>
          <a:srgbClr val="AA2120"/>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a:t>Für ausgewählte Maßnahmen können hier und in</a:t>
          </a:r>
          <a:r>
            <a:rPr lang="de-DE" sz="1100" baseline="0"/>
            <a:t> weiteren Handlungsfeldern</a:t>
          </a:r>
          <a:r>
            <a:rPr lang="de-DE" sz="1100"/>
            <a:t> mögliche CO</a:t>
          </a:r>
          <a:r>
            <a:rPr lang="de-DE" sz="1100" baseline="-25000"/>
            <a:t>2</a:t>
          </a:r>
          <a:r>
            <a:rPr lang="de-DE" sz="1100"/>
            <a:t>-Einsparungen</a:t>
          </a:r>
          <a:r>
            <a:rPr lang="de-DE" sz="1100" baseline="0"/>
            <a:t> berechnet werden. Wählen Sie dazu in der Spalte "Maßnahme" per Dropdown eine geplante Maßnahme aus. Geben Sie in den folgenden Spalten den aktuellen Müllverbrauch und die geplante Einsparung in Prozent ein. Tragen Sie zuletzt den berechneten Einsparungswert in der linken Tabelle im Bereich "Geplante CO</a:t>
          </a:r>
          <a:r>
            <a:rPr lang="de-DE" sz="1100" baseline="-25000"/>
            <a:t>2</a:t>
          </a:r>
          <a:r>
            <a:rPr lang="de-DE" sz="1100" baseline="0"/>
            <a:t>-Reduktion" ein, z. B. bis 2025.</a:t>
          </a:r>
          <a:endParaRPr lang="de-DE" sz="1100"/>
        </a:p>
      </xdr:txBody>
    </xdr:sp>
    <xdr:clientData/>
  </xdr:twoCellAnchor>
  <xdr:twoCellAnchor editAs="oneCell">
    <xdr:from>
      <xdr:col>12</xdr:col>
      <xdr:colOff>76107</xdr:colOff>
      <xdr:row>0</xdr:row>
      <xdr:rowOff>144977</xdr:rowOff>
    </xdr:from>
    <xdr:to>
      <xdr:col>12</xdr:col>
      <xdr:colOff>953689</xdr:colOff>
      <xdr:row>4</xdr:row>
      <xdr:rowOff>196204</xdr:rowOff>
    </xdr:to>
    <xdr:pic>
      <xdr:nvPicPr>
        <xdr:cNvPr id="10" name="Grafik 9">
          <a:extLst>
            <a:ext uri="{FF2B5EF4-FFF2-40B4-BE49-F238E27FC236}">
              <a16:creationId xmlns:a16="http://schemas.microsoft.com/office/drawing/2014/main" id="{A9514B93-817A-4F7A-9921-8ACD358B974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2363357" y="144977"/>
          <a:ext cx="877582" cy="813227"/>
        </a:xfrm>
        <a:prstGeom prst="rect">
          <a:avLst/>
        </a:prstGeom>
      </xdr:spPr>
    </xdr:pic>
    <xdr:clientData/>
  </xdr:twoCellAnchor>
  <xdr:twoCellAnchor>
    <xdr:from>
      <xdr:col>0</xdr:col>
      <xdr:colOff>27215</xdr:colOff>
      <xdr:row>4</xdr:row>
      <xdr:rowOff>272143</xdr:rowOff>
    </xdr:from>
    <xdr:to>
      <xdr:col>9</xdr:col>
      <xdr:colOff>993322</xdr:colOff>
      <xdr:row>4</xdr:row>
      <xdr:rowOff>1288000</xdr:rowOff>
    </xdr:to>
    <xdr:sp macro="" textlink="">
      <xdr:nvSpPr>
        <xdr:cNvPr id="11" name="Rechteck: abgerundete Ecken 10">
          <a:extLst>
            <a:ext uri="{FF2B5EF4-FFF2-40B4-BE49-F238E27FC236}">
              <a16:creationId xmlns:a16="http://schemas.microsoft.com/office/drawing/2014/main" id="{A1B7AE8A-B785-4626-BC82-0B055ED8E7E4}"/>
            </a:ext>
          </a:extLst>
        </xdr:cNvPr>
        <xdr:cNvSpPr/>
      </xdr:nvSpPr>
      <xdr:spPr>
        <a:xfrm>
          <a:off x="27215" y="1034143"/>
          <a:ext cx="9484178" cy="1015857"/>
        </a:xfrm>
        <a:prstGeom prst="roundRect">
          <a:avLst>
            <a:gd name="adj" fmla="val 9474"/>
          </a:avLst>
        </a:prstGeom>
        <a:solidFill>
          <a:srgbClr val="AA2120"/>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a:t>Bitte tragen Sie in die Tabelle die von Ihrer Schule geplanten Klimaschutzmaßnahmen ein und hinterlegen Sie dabei ihre notwendigen Informationen. Pro Handlungsfeld müssen mindestens drei Maßnahmen vorhanden sein, wovon mindestens eine Maßnahme abgeschlossen sein muss. Auch Maßnahmen aus der Vergangenheit können zur Dokumentation eingetragen werden. </a:t>
          </a:r>
        </a:p>
        <a:p>
          <a:pPr fontAlgn="ctr"/>
          <a:r>
            <a:rPr lang="de-DE" sz="1100"/>
            <a:t>Die Eintragungen in die Tabelle werden automatisch in die Word-Vorlage übernommen. Eintragungen in der Wordatei werden jedoch nicht in die Excel-Vorlage übertragen.</a:t>
          </a:r>
        </a:p>
      </xdr:txBody>
    </xdr:sp>
    <xdr:clientData/>
  </xdr:twoCellAnchor>
  <xdr:twoCellAnchor editAs="oneCell">
    <xdr:from>
      <xdr:col>10</xdr:col>
      <xdr:colOff>149678</xdr:colOff>
      <xdr:row>4</xdr:row>
      <xdr:rowOff>310269</xdr:rowOff>
    </xdr:from>
    <xdr:to>
      <xdr:col>11</xdr:col>
      <xdr:colOff>6480</xdr:colOff>
      <xdr:row>4</xdr:row>
      <xdr:rowOff>1098765</xdr:rowOff>
    </xdr:to>
    <xdr:pic>
      <xdr:nvPicPr>
        <xdr:cNvPr id="12" name="Grafik 11">
          <a:extLst>
            <a:ext uri="{FF2B5EF4-FFF2-40B4-BE49-F238E27FC236}">
              <a16:creationId xmlns:a16="http://schemas.microsoft.com/office/drawing/2014/main" id="{C806C2C9-9F0F-40D4-B362-67212EFD65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rot="20918923">
          <a:off x="10028464" y="1072269"/>
          <a:ext cx="782505" cy="7884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1</xdr:col>
      <xdr:colOff>446729</xdr:colOff>
      <xdr:row>3</xdr:row>
      <xdr:rowOff>163805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04775"/>
          <a:ext cx="654225" cy="636934"/>
        </a:xfrm>
        <a:prstGeom prst="rect">
          <a:avLst/>
        </a:prstGeom>
      </xdr:spPr>
    </xdr:pic>
    <xdr:clientData/>
  </xdr:twoCellAnchor>
  <xdr:twoCellAnchor>
    <xdr:from>
      <xdr:col>1</xdr:col>
      <xdr:colOff>612589</xdr:colOff>
      <xdr:row>1</xdr:row>
      <xdr:rowOff>59419</xdr:rowOff>
    </xdr:from>
    <xdr:to>
      <xdr:col>8</xdr:col>
      <xdr:colOff>305147</xdr:colOff>
      <xdr:row>3</xdr:row>
      <xdr:rowOff>1789</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882464" y="249919"/>
          <a:ext cx="612193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Einkauf</a:t>
          </a:r>
        </a:p>
      </xdr:txBody>
    </xdr:sp>
    <xdr:clientData/>
  </xdr:twoCellAnchor>
  <xdr:twoCellAnchor>
    <xdr:from>
      <xdr:col>13</xdr:col>
      <xdr:colOff>1035842</xdr:colOff>
      <xdr:row>1</xdr:row>
      <xdr:rowOff>28914</xdr:rowOff>
    </xdr:from>
    <xdr:to>
      <xdr:col>18</xdr:col>
      <xdr:colOff>722878</xdr:colOff>
      <xdr:row>3</xdr:row>
      <xdr:rowOff>124164</xdr:rowOff>
    </xdr:to>
    <xdr:sp macro="" textlink="">
      <xdr:nvSpPr>
        <xdr:cNvPr id="5" name="Textfeld 4">
          <a:extLst>
            <a:ext uri="{FF2B5EF4-FFF2-40B4-BE49-F238E27FC236}">
              <a16:creationId xmlns:a16="http://schemas.microsoft.com/office/drawing/2014/main" id="{3933921F-9B8C-8C4F-9AC0-DFF5F7D980F8}"/>
            </a:ext>
          </a:extLst>
        </xdr:cNvPr>
        <xdr:cNvSpPr txBox="1"/>
      </xdr:nvSpPr>
      <xdr:spPr>
        <a:xfrm>
          <a:off x="16166985" y="219414"/>
          <a:ext cx="6640286" cy="476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Einkauf</a:t>
          </a:r>
          <a:r>
            <a:rPr lang="de-DE" sz="1600"/>
            <a:t> </a:t>
          </a:r>
        </a:p>
      </xdr:txBody>
    </xdr:sp>
    <xdr:clientData/>
  </xdr:twoCellAnchor>
  <xdr:twoCellAnchor>
    <xdr:from>
      <xdr:col>0</xdr:col>
      <xdr:colOff>94550</xdr:colOff>
      <xdr:row>14</xdr:row>
      <xdr:rowOff>236726</xdr:rowOff>
    </xdr:from>
    <xdr:to>
      <xdr:col>10</xdr:col>
      <xdr:colOff>701768</xdr:colOff>
      <xdr:row>27</xdr:row>
      <xdr:rowOff>108857</xdr:rowOff>
    </xdr:to>
    <xdr:sp macro="" textlink="">
      <xdr:nvSpPr>
        <xdr:cNvPr id="6" name="Textfeld 5">
          <a:extLst>
            <a:ext uri="{FF2B5EF4-FFF2-40B4-BE49-F238E27FC236}">
              <a16:creationId xmlns:a16="http://schemas.microsoft.com/office/drawing/2014/main" id="{1EBF97E7-64F5-4CA4-97C1-F84606A3D3D8}"/>
            </a:ext>
          </a:extLst>
        </xdr:cNvPr>
        <xdr:cNvSpPr txBox="1"/>
      </xdr:nvSpPr>
      <xdr:spPr>
        <a:xfrm>
          <a:off x="94550" y="5366619"/>
          <a:ext cx="9805647" cy="2865702"/>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Einkauf</a:t>
          </a:r>
        </a:p>
        <a:p>
          <a:endParaRPr lang="de-DE" sz="900" baseline="0"/>
        </a:p>
        <a:p>
          <a:pPr marL="171450" indent="-171450">
            <a:buFont typeface="Arial" panose="020B0604020202020204" pitchFamily="34" charset="0"/>
            <a:buChar char="•"/>
          </a:pPr>
          <a:r>
            <a:rPr lang="de-DE" sz="1100">
              <a:solidFill>
                <a:schemeClr val="dk1"/>
              </a:solidFill>
              <a:effectLst/>
              <a:latin typeface="+mn-lt"/>
              <a:ea typeface="+mn-ea"/>
              <a:cs typeface="+mn-cs"/>
            </a:rPr>
            <a:t>Bücherbasar</a:t>
          </a:r>
        </a:p>
        <a:p>
          <a:pPr marL="171450" indent="-171450">
            <a:buFont typeface="Arial" panose="020B0604020202020204" pitchFamily="34" charset="0"/>
            <a:buChar char="•"/>
          </a:pPr>
          <a:r>
            <a:rPr lang="de-DE" sz="1100">
              <a:solidFill>
                <a:schemeClr val="dk1"/>
              </a:solidFill>
              <a:effectLst/>
              <a:latin typeface="+mn-lt"/>
              <a:ea typeface="+mn-ea"/>
              <a:cs typeface="+mn-cs"/>
            </a:rPr>
            <a:t>Fast-Fashion: Unterrichtsprojekt zur Sensibilisierung für das nachhaltigen Kleiderkonsum</a:t>
          </a:r>
        </a:p>
        <a:p>
          <a:pPr marL="171450" indent="-171450">
            <a:buFont typeface="Arial" panose="020B0604020202020204" pitchFamily="34" charset="0"/>
            <a:buChar char="•"/>
          </a:pPr>
          <a:r>
            <a:rPr lang="de-DE" sz="1100">
              <a:solidFill>
                <a:schemeClr val="dk1"/>
              </a:solidFill>
              <a:effectLst/>
              <a:latin typeface="+mn-lt"/>
              <a:ea typeface="+mn-ea"/>
              <a:cs typeface="+mn-cs"/>
            </a:rPr>
            <a:t>Kleiderkreisel</a:t>
          </a:r>
        </a:p>
        <a:p>
          <a:pPr marL="171450" indent="-171450">
            <a:buFont typeface="Arial" panose="020B0604020202020204" pitchFamily="34" charset="0"/>
            <a:buChar char="•"/>
          </a:pPr>
          <a:r>
            <a:rPr lang="de-DE" sz="1100">
              <a:solidFill>
                <a:schemeClr val="dk1"/>
              </a:solidFill>
              <a:effectLst/>
              <a:latin typeface="+mn-lt"/>
              <a:ea typeface="+mn-ea"/>
              <a:cs typeface="+mn-cs"/>
            </a:rPr>
            <a:t>Kopierpapier: Umstellung auf Recyclingpapier mit blauem Engel</a:t>
          </a:r>
        </a:p>
        <a:p>
          <a:pPr marL="171450" indent="-171450">
            <a:buFont typeface="Arial" panose="020B0604020202020204" pitchFamily="34" charset="0"/>
            <a:buChar char="•"/>
          </a:pPr>
          <a:r>
            <a:rPr lang="de-DE" sz="1100">
              <a:solidFill>
                <a:schemeClr val="dk1"/>
              </a:solidFill>
              <a:effectLst/>
              <a:latin typeface="+mn-lt"/>
              <a:ea typeface="+mn-ea"/>
              <a:cs typeface="+mn-cs"/>
            </a:rPr>
            <a:t>Nachhaltige Gebrauchs- und Verbrauchsmittel im laufenden Schulbetrieb (z. B. Reinigungsmittel, </a:t>
          </a:r>
        </a:p>
        <a:p>
          <a:pPr marL="171450" indent="-171450">
            <a:buFont typeface="Arial" panose="020B0604020202020204" pitchFamily="34" charset="0"/>
            <a:buChar char="•"/>
          </a:pPr>
          <a:r>
            <a:rPr lang="de-DE" sz="1100">
              <a:solidFill>
                <a:schemeClr val="dk1"/>
              </a:solidFill>
              <a:effectLst/>
              <a:latin typeface="+mn-lt"/>
              <a:ea typeface="+mn-ea"/>
              <a:cs typeface="+mn-cs"/>
            </a:rPr>
            <a:t>Organisation eines Hefteverkaufs zum Schuljahresanfang für alle Jahrgangsstufen</a:t>
          </a:r>
        </a:p>
        <a:p>
          <a:pPr marL="171450" indent="-171450">
            <a:buFont typeface="Arial" panose="020B0604020202020204" pitchFamily="34" charset="0"/>
            <a:buChar char="•"/>
          </a:pPr>
          <a:r>
            <a:rPr lang="de-DE" sz="1100">
              <a:solidFill>
                <a:schemeClr val="dk1"/>
              </a:solidFill>
              <a:effectLst/>
              <a:latin typeface="+mn-lt"/>
              <a:ea typeface="+mn-ea"/>
              <a:cs typeface="+mn-cs"/>
            </a:rPr>
            <a:t>Papierprodukte insgesamt auf Recyclingpapier umstellen</a:t>
          </a:r>
        </a:p>
        <a:p>
          <a:pPr marL="171450" indent="-171450">
            <a:buFont typeface="Arial" panose="020B0604020202020204" pitchFamily="34" charset="0"/>
            <a:buChar char="•"/>
          </a:pPr>
          <a:r>
            <a:rPr lang="de-DE" sz="1100">
              <a:solidFill>
                <a:schemeClr val="dk1"/>
              </a:solidFill>
              <a:effectLst/>
              <a:latin typeface="+mn-lt"/>
              <a:ea typeface="+mn-ea"/>
              <a:cs typeface="+mn-cs"/>
            </a:rPr>
            <a:t>Schulflohmarkt organisieren</a:t>
          </a:r>
        </a:p>
        <a:p>
          <a:pPr marL="171450" indent="-171450">
            <a:buFont typeface="Arial" panose="020B0604020202020204" pitchFamily="34" charset="0"/>
            <a:buChar char="•"/>
          </a:pPr>
          <a:r>
            <a:rPr lang="de-DE" sz="1100">
              <a:solidFill>
                <a:schemeClr val="dk1"/>
              </a:solidFill>
              <a:effectLst/>
              <a:latin typeface="+mn-lt"/>
              <a:ea typeface="+mn-ea"/>
              <a:cs typeface="+mn-cs"/>
            </a:rPr>
            <a:t>Secondhand Tauschbörse</a:t>
          </a:r>
        </a:p>
        <a:p>
          <a:pPr marL="171450" indent="-171450">
            <a:buFont typeface="Arial" panose="020B0604020202020204" pitchFamily="34" charset="0"/>
            <a:buChar char="•"/>
          </a:pPr>
          <a:r>
            <a:rPr lang="de-DE" sz="1100">
              <a:solidFill>
                <a:schemeClr val="dk1"/>
              </a:solidFill>
              <a:effectLst/>
              <a:latin typeface="+mn-lt"/>
              <a:ea typeface="+mn-ea"/>
              <a:cs typeface="+mn-cs"/>
            </a:rPr>
            <a:t>Tauschbrett einführen</a:t>
          </a:r>
        </a:p>
        <a:p>
          <a:pPr marL="171450" indent="-171450">
            <a:buFont typeface="Arial" panose="020B0604020202020204" pitchFamily="34" charset="0"/>
            <a:buChar char="•"/>
          </a:pPr>
          <a:r>
            <a:rPr lang="de-DE" sz="1100">
              <a:solidFill>
                <a:schemeClr val="dk1"/>
              </a:solidFill>
              <a:effectLst/>
              <a:latin typeface="+mn-lt"/>
              <a:ea typeface="+mn-ea"/>
              <a:cs typeface="+mn-cs"/>
            </a:rPr>
            <a:t>Verkauf von Fairtradeprodukten, wie</a:t>
          </a:r>
          <a:r>
            <a:rPr lang="de-DE" sz="1100" baseline="0">
              <a:solidFill>
                <a:schemeClr val="dk1"/>
              </a:solidFill>
              <a:effectLst/>
              <a:latin typeface="+mn-lt"/>
              <a:ea typeface="+mn-ea"/>
              <a:cs typeface="+mn-cs"/>
            </a:rPr>
            <a:t> z. B. Kaffee, Mangos, Schokolade, Tee, Schulkleidung, ... . Hinweis: Achten Sie bei den Produkten darauf, ob es regionale oder überregionale Alternativen gibt. Honig von heimischen Imkereien sind z. B. fairem Honig von einem anderen Kontinent vorzuziehen. </a:t>
          </a:r>
        </a:p>
        <a:p>
          <a:pPr marL="171450" indent="-171450">
            <a:buFont typeface="Arial" panose="020B0604020202020204" pitchFamily="34" charset="0"/>
            <a:buChar char="•"/>
          </a:pPr>
          <a:r>
            <a:rPr lang="de-DE" sz="1100">
              <a:solidFill>
                <a:schemeClr val="dk1"/>
              </a:solidFill>
              <a:effectLst/>
              <a:latin typeface="+mn-lt"/>
              <a:ea typeface="+mn-ea"/>
              <a:cs typeface="+mn-cs"/>
            </a:rPr>
            <a:t>Wöchentlicher Hefte- und Blockverkauf mit ökologisch nachhaltigen Produkten (hierzu z. B. Gründung einer Schülerfirma)</a:t>
          </a:r>
        </a:p>
        <a:p>
          <a:endParaRPr lang="de-DE" sz="1100" b="0" i="0" u="none" strike="noStrike">
            <a:solidFill>
              <a:schemeClr val="dk1"/>
            </a:solidFill>
            <a:effectLst/>
            <a:latin typeface="+mn-lt"/>
            <a:ea typeface="+mn-ea"/>
            <a:cs typeface="+mn-cs"/>
          </a:endParaRPr>
        </a:p>
        <a:p>
          <a:endParaRPr lang="de-DE" sz="1600" baseline="0"/>
        </a:p>
        <a:p>
          <a:r>
            <a:rPr lang="de-DE" sz="1600">
              <a:effectLst/>
            </a:rPr>
            <a:t> </a:t>
          </a:r>
          <a:endParaRPr lang="de-DE" sz="1600"/>
        </a:p>
      </xdr:txBody>
    </xdr:sp>
    <xdr:clientData/>
  </xdr:twoCellAnchor>
  <xdr:twoCellAnchor editAs="oneCell">
    <xdr:from>
      <xdr:col>0</xdr:col>
      <xdr:colOff>254634</xdr:colOff>
      <xdr:row>28</xdr:row>
      <xdr:rowOff>181495</xdr:rowOff>
    </xdr:from>
    <xdr:to>
      <xdr:col>1</xdr:col>
      <xdr:colOff>927095</xdr:colOff>
      <xdr:row>34</xdr:row>
      <xdr:rowOff>26183</xdr:rowOff>
    </xdr:to>
    <xdr:pic>
      <xdr:nvPicPr>
        <xdr:cNvPr id="7" name="Grafik 6">
          <a:extLst>
            <a:ext uri="{FF2B5EF4-FFF2-40B4-BE49-F238E27FC236}">
              <a16:creationId xmlns:a16="http://schemas.microsoft.com/office/drawing/2014/main" id="{BF28999C-DE21-412E-AEBD-0029301E726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rot="20918923">
          <a:off x="254634" y="8495459"/>
          <a:ext cx="985425" cy="987688"/>
        </a:xfrm>
        <a:prstGeom prst="rect">
          <a:avLst/>
        </a:prstGeom>
      </xdr:spPr>
    </xdr:pic>
    <xdr:clientData/>
  </xdr:twoCellAnchor>
  <xdr:twoCellAnchor>
    <xdr:from>
      <xdr:col>1</xdr:col>
      <xdr:colOff>1140724</xdr:colOff>
      <xdr:row>28</xdr:row>
      <xdr:rowOff>190386</xdr:rowOff>
    </xdr:from>
    <xdr:to>
      <xdr:col>10</xdr:col>
      <xdr:colOff>658595</xdr:colOff>
      <xdr:row>33</xdr:row>
      <xdr:rowOff>159786</xdr:rowOff>
    </xdr:to>
    <xdr:sp macro="" textlink="">
      <xdr:nvSpPr>
        <xdr:cNvPr id="8" name="Rechteck: abgerundete Ecken 7">
          <a:extLst>
            <a:ext uri="{FF2B5EF4-FFF2-40B4-BE49-F238E27FC236}">
              <a16:creationId xmlns:a16="http://schemas.microsoft.com/office/drawing/2014/main" id="{0E543F1A-01B9-4F6D-908E-0B31912C51C1}"/>
            </a:ext>
          </a:extLst>
        </xdr:cNvPr>
        <xdr:cNvSpPr/>
      </xdr:nvSpPr>
      <xdr:spPr>
        <a:xfrm>
          <a:off x="1453688" y="8504350"/>
          <a:ext cx="8403336" cy="921900"/>
        </a:xfrm>
        <a:prstGeom prst="roundRect">
          <a:avLst>
            <a:gd name="adj" fmla="val 9474"/>
          </a:avLst>
        </a:prstGeom>
        <a:solidFill>
          <a:srgbClr val="455293"/>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13</xdr:col>
      <xdr:colOff>129267</xdr:colOff>
      <xdr:row>0</xdr:row>
      <xdr:rowOff>52727</xdr:rowOff>
    </xdr:from>
    <xdr:to>
      <xdr:col>13</xdr:col>
      <xdr:colOff>1006849</xdr:colOff>
      <xdr:row>4</xdr:row>
      <xdr:rowOff>103954</xdr:rowOff>
    </xdr:to>
    <xdr:pic>
      <xdr:nvPicPr>
        <xdr:cNvPr id="9" name="Grafik 8">
          <a:extLst>
            <a:ext uri="{FF2B5EF4-FFF2-40B4-BE49-F238E27FC236}">
              <a16:creationId xmlns:a16="http://schemas.microsoft.com/office/drawing/2014/main" id="{D4906890-DE8F-4101-BF6C-D158B091847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5260410" y="52727"/>
          <a:ext cx="877582" cy="8132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1</xdr:col>
      <xdr:colOff>426640</xdr:colOff>
      <xdr:row>3</xdr:row>
      <xdr:rowOff>164400</xdr:rowOff>
    </xdr:to>
    <xdr:pic>
      <xdr:nvPicPr>
        <xdr:cNvPr id="6" name="Grafik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4775" y="104775"/>
          <a:ext cx="637311" cy="631125"/>
        </a:xfrm>
        <a:prstGeom prst="rect">
          <a:avLst/>
        </a:prstGeom>
      </xdr:spPr>
    </xdr:pic>
    <xdr:clientData/>
  </xdr:twoCellAnchor>
  <xdr:twoCellAnchor>
    <xdr:from>
      <xdr:col>1</xdr:col>
      <xdr:colOff>472889</xdr:colOff>
      <xdr:row>1</xdr:row>
      <xdr:rowOff>62594</xdr:rowOff>
    </xdr:from>
    <xdr:to>
      <xdr:col>8</xdr:col>
      <xdr:colOff>155922</xdr:colOff>
      <xdr:row>3</xdr:row>
      <xdr:rowOff>4964</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844364" y="253094"/>
          <a:ext cx="663628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Ernährung</a:t>
          </a:r>
        </a:p>
      </xdr:txBody>
    </xdr:sp>
    <xdr:clientData/>
  </xdr:twoCellAnchor>
  <xdr:twoCellAnchor editAs="oneCell">
    <xdr:from>
      <xdr:col>12</xdr:col>
      <xdr:colOff>69337</xdr:colOff>
      <xdr:row>0</xdr:row>
      <xdr:rowOff>62330</xdr:rowOff>
    </xdr:from>
    <xdr:to>
      <xdr:col>12</xdr:col>
      <xdr:colOff>946919</xdr:colOff>
      <xdr:row>4</xdr:row>
      <xdr:rowOff>113557</xdr:rowOff>
    </xdr:to>
    <xdr:pic>
      <xdr:nvPicPr>
        <xdr:cNvPr id="2" name="Grafik 1">
          <a:extLst>
            <a:ext uri="{FF2B5EF4-FFF2-40B4-BE49-F238E27FC236}">
              <a16:creationId xmlns:a16="http://schemas.microsoft.com/office/drawing/2014/main" id="{F264DC1C-19E7-4AEB-B6F1-41DB29A737F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532955" y="62330"/>
          <a:ext cx="877582" cy="813227"/>
        </a:xfrm>
        <a:prstGeom prst="rect">
          <a:avLst/>
        </a:prstGeom>
      </xdr:spPr>
    </xdr:pic>
    <xdr:clientData/>
  </xdr:twoCellAnchor>
  <xdr:twoCellAnchor>
    <xdr:from>
      <xdr:col>12</xdr:col>
      <xdr:colOff>1148403</xdr:colOff>
      <xdr:row>0</xdr:row>
      <xdr:rowOff>115159</xdr:rowOff>
    </xdr:from>
    <xdr:to>
      <xdr:col>17</xdr:col>
      <xdr:colOff>574502</xdr:colOff>
      <xdr:row>3</xdr:row>
      <xdr:rowOff>98350</xdr:rowOff>
    </xdr:to>
    <xdr:sp macro="" textlink="">
      <xdr:nvSpPr>
        <xdr:cNvPr id="4" name="Textfeld 3">
          <a:extLst>
            <a:ext uri="{FF2B5EF4-FFF2-40B4-BE49-F238E27FC236}">
              <a16:creationId xmlns:a16="http://schemas.microsoft.com/office/drawing/2014/main" id="{E300158F-DE15-43E8-974A-C6AE7B9D4E65}"/>
            </a:ext>
          </a:extLst>
        </xdr:cNvPr>
        <xdr:cNvSpPr txBox="1"/>
      </xdr:nvSpPr>
      <xdr:spPr>
        <a:xfrm>
          <a:off x="12612021" y="115159"/>
          <a:ext cx="7303834"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Ernährung</a:t>
          </a:r>
          <a:endParaRPr lang="de-DE" sz="1600"/>
        </a:p>
      </xdr:txBody>
    </xdr:sp>
    <xdr:clientData/>
  </xdr:twoCellAnchor>
  <xdr:twoCellAnchor>
    <xdr:from>
      <xdr:col>0</xdr:col>
      <xdr:colOff>0</xdr:colOff>
      <xdr:row>17</xdr:row>
      <xdr:rowOff>190499</xdr:rowOff>
    </xdr:from>
    <xdr:to>
      <xdr:col>11</xdr:col>
      <xdr:colOff>0</xdr:colOff>
      <xdr:row>48</xdr:row>
      <xdr:rowOff>14654</xdr:rowOff>
    </xdr:to>
    <xdr:sp macro="" textlink="">
      <xdr:nvSpPr>
        <xdr:cNvPr id="7" name="Textfeld 6">
          <a:extLst>
            <a:ext uri="{FF2B5EF4-FFF2-40B4-BE49-F238E27FC236}">
              <a16:creationId xmlns:a16="http://schemas.microsoft.com/office/drawing/2014/main" id="{1ACB6D14-5055-4047-A431-717864A21B08}"/>
            </a:ext>
          </a:extLst>
        </xdr:cNvPr>
        <xdr:cNvSpPr txBox="1"/>
      </xdr:nvSpPr>
      <xdr:spPr>
        <a:xfrm>
          <a:off x="0" y="5883087"/>
          <a:ext cx="9468170" cy="5729655"/>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Ernährung</a:t>
          </a:r>
        </a:p>
        <a:p>
          <a:endParaRPr lang="de-DE" sz="900" baseline="0"/>
        </a:p>
        <a:p>
          <a:pPr marL="171450" lvl="0" indent="-171450">
            <a:buFont typeface="Arial" panose="020B0604020202020204" pitchFamily="34" charset="0"/>
            <a:buChar char="•"/>
          </a:pPr>
          <a:r>
            <a:rPr lang="de-DE" sz="1100">
              <a:solidFill>
                <a:schemeClr val="dk1"/>
              </a:solidFill>
              <a:effectLst/>
              <a:latin typeface="+mn-lt"/>
              <a:ea typeface="+mn-ea"/>
              <a:cs typeface="+mn-cs"/>
            </a:rPr>
            <a:t>Besuch eines Bauernhofs (Milchwirtschaft, Gemüseanbau)</a:t>
          </a:r>
        </a:p>
        <a:p>
          <a:pPr marL="171450" lvl="0" indent="-171450">
            <a:buFont typeface="Arial" panose="020B0604020202020204" pitchFamily="34" charset="0"/>
            <a:buChar char="•"/>
          </a:pPr>
          <a:r>
            <a:rPr lang="de-DE" sz="1100">
              <a:solidFill>
                <a:schemeClr val="dk1"/>
              </a:solidFill>
              <a:effectLst/>
              <a:latin typeface="+mn-lt"/>
              <a:ea typeface="+mn-ea"/>
              <a:cs typeface="+mn-cs"/>
            </a:rPr>
            <a:t>Bio- und Fairtrade-Kaffee im Lehrerzimmer und im Schulbetrieb</a:t>
          </a:r>
        </a:p>
        <a:p>
          <a:pPr marL="171450" lvl="0" indent="-171450">
            <a:buFont typeface="Arial" panose="020B0604020202020204" pitchFamily="34" charset="0"/>
            <a:buChar char="•"/>
          </a:pPr>
          <a:r>
            <a:rPr lang="de-DE" sz="1100">
              <a:solidFill>
                <a:schemeClr val="dk1"/>
              </a:solidFill>
              <a:effectLst/>
              <a:latin typeface="+mn-lt"/>
              <a:ea typeface="+mn-ea"/>
              <a:cs typeface="+mn-cs"/>
            </a:rPr>
            <a:t>Einführung des Konzepts “Ein guter Tag hat 100 Punkte“ im Unterricht (https://www.eingutertag.org/de/)</a:t>
          </a:r>
        </a:p>
        <a:p>
          <a:pPr marL="171450" lvl="0" indent="-171450">
            <a:buFont typeface="Arial" panose="020B0604020202020204" pitchFamily="34" charset="0"/>
            <a:buChar char="•"/>
          </a:pPr>
          <a:r>
            <a:rPr lang="de-DE" sz="1100">
              <a:solidFill>
                <a:schemeClr val="dk1"/>
              </a:solidFill>
              <a:effectLst/>
              <a:latin typeface="+mn-lt"/>
              <a:ea typeface="+mn-ea"/>
              <a:cs typeface="+mn-cs"/>
            </a:rPr>
            <a:t>Ernährungsführerschein</a:t>
          </a:r>
        </a:p>
        <a:p>
          <a:pPr marL="171450" lvl="0" indent="-171450">
            <a:buFont typeface="Arial" panose="020B0604020202020204" pitchFamily="34" charset="0"/>
            <a:buChar char="•"/>
          </a:pPr>
          <a:r>
            <a:rPr lang="de-DE" sz="1100">
              <a:solidFill>
                <a:schemeClr val="dk1"/>
              </a:solidFill>
              <a:effectLst/>
              <a:latin typeface="+mn-lt"/>
              <a:ea typeface="+mn-ea"/>
              <a:cs typeface="+mn-cs"/>
            </a:rPr>
            <a:t>Ernährungstagebuch – Schülerinnen und Schüler erfassen ihre fleischfreien Tage</a:t>
          </a:r>
        </a:p>
        <a:p>
          <a:pPr marL="171450" lvl="0" indent="-171450">
            <a:buFont typeface="Arial" panose="020B0604020202020204" pitchFamily="34" charset="0"/>
            <a:buChar char="•"/>
          </a:pPr>
          <a:r>
            <a:rPr lang="de-DE" sz="1100">
              <a:solidFill>
                <a:schemeClr val="dk1"/>
              </a:solidFill>
              <a:effectLst/>
              <a:latin typeface="+mn-lt"/>
              <a:ea typeface="+mn-ea"/>
              <a:cs typeface="+mn-cs"/>
            </a:rPr>
            <a:t>Expertenvorträge zum Thema Klimawandel und Ernährung</a:t>
          </a:r>
        </a:p>
        <a:p>
          <a:pPr marL="171450" lvl="0" indent="-171450">
            <a:buFont typeface="Arial" panose="020B0604020202020204" pitchFamily="34" charset="0"/>
            <a:buChar char="•"/>
          </a:pPr>
          <a:r>
            <a:rPr lang="de-DE" sz="1100">
              <a:solidFill>
                <a:schemeClr val="dk1"/>
              </a:solidFill>
              <a:effectLst/>
              <a:latin typeface="+mn-lt"/>
              <a:ea typeface="+mn-ea"/>
              <a:cs typeface="+mn-cs"/>
            </a:rPr>
            <a:t>FairFriday: jeden Freitag gibt es nur faire Produkte im Pausenverkauf</a:t>
          </a:r>
        </a:p>
        <a:p>
          <a:pPr marL="171450" lvl="0" indent="-171450">
            <a:buFont typeface="Arial" panose="020B0604020202020204" pitchFamily="34" charset="0"/>
            <a:buChar char="•"/>
          </a:pPr>
          <a:r>
            <a:rPr lang="de-DE" sz="1100">
              <a:solidFill>
                <a:schemeClr val="dk1"/>
              </a:solidFill>
              <a:effectLst/>
              <a:latin typeface="+mn-lt"/>
              <a:ea typeface="+mn-ea"/>
              <a:cs typeface="+mn-cs"/>
            </a:rPr>
            <a:t>Fairomat – der stromlose Automat bietet faire (Bio)-Naschereien an.</a:t>
          </a:r>
        </a:p>
        <a:p>
          <a:pPr marL="171450" lvl="0" indent="-171450">
            <a:buFont typeface="Arial" panose="020B0604020202020204" pitchFamily="34" charset="0"/>
            <a:buChar char="•"/>
          </a:pPr>
          <a:r>
            <a:rPr lang="de-DE" sz="1100">
              <a:solidFill>
                <a:schemeClr val="dk1"/>
              </a:solidFill>
              <a:effectLst/>
              <a:latin typeface="+mn-lt"/>
              <a:ea typeface="+mn-ea"/>
              <a:cs typeface="+mn-cs"/>
            </a:rPr>
            <a:t>Klimadinner – ein klimafreundliches Abendessen</a:t>
          </a:r>
        </a:p>
        <a:p>
          <a:pPr marL="171450" lvl="0" indent="-171450">
            <a:buFont typeface="Arial" panose="020B0604020202020204" pitchFamily="34" charset="0"/>
            <a:buChar char="•"/>
          </a:pPr>
          <a:r>
            <a:rPr lang="de-DE" sz="1100">
              <a:solidFill>
                <a:schemeClr val="dk1"/>
              </a:solidFill>
              <a:effectLst/>
              <a:latin typeface="+mn-lt"/>
              <a:ea typeface="+mn-ea"/>
              <a:cs typeface="+mn-cs"/>
            </a:rPr>
            <a:t>Klimafrühstück</a:t>
          </a:r>
        </a:p>
        <a:p>
          <a:pPr marL="171450" lvl="0" indent="-171450">
            <a:buFont typeface="Arial" panose="020B0604020202020204" pitchFamily="34" charset="0"/>
            <a:buChar char="•"/>
          </a:pPr>
          <a:r>
            <a:rPr lang="de-DE" sz="1100">
              <a:solidFill>
                <a:schemeClr val="dk1"/>
              </a:solidFill>
              <a:effectLst/>
              <a:latin typeface="+mn-lt"/>
              <a:ea typeface="+mn-ea"/>
              <a:cs typeface="+mn-cs"/>
            </a:rPr>
            <a:t>Klimakochbuch gestalten</a:t>
          </a:r>
        </a:p>
        <a:p>
          <a:pPr marL="171450" lvl="0" indent="-171450">
            <a:buFont typeface="Arial" panose="020B0604020202020204" pitchFamily="34" charset="0"/>
            <a:buChar char="•"/>
          </a:pPr>
          <a:r>
            <a:rPr lang="de-DE" sz="1100">
              <a:solidFill>
                <a:schemeClr val="dk1"/>
              </a:solidFill>
              <a:effectLst/>
              <a:latin typeface="+mn-lt"/>
              <a:ea typeface="+mn-ea"/>
              <a:cs typeface="+mn-cs"/>
            </a:rPr>
            <a:t>Kräuterbrot-Tage: saisonale und regionale Alternativen zur Pausen-Wurstsemmel kennenlernen</a:t>
          </a:r>
        </a:p>
        <a:p>
          <a:pPr marL="171450" lvl="0" indent="-171450">
            <a:buFont typeface="Arial" panose="020B0604020202020204" pitchFamily="34" charset="0"/>
            <a:buChar char="•"/>
          </a:pPr>
          <a:r>
            <a:rPr lang="de-DE" sz="1100">
              <a:solidFill>
                <a:schemeClr val="dk1"/>
              </a:solidFill>
              <a:effectLst/>
              <a:latin typeface="+mn-lt"/>
              <a:ea typeface="+mn-ea"/>
              <a:cs typeface="+mn-cs"/>
            </a:rPr>
            <a:t>Lebensmittel retten: "Zu gut für die Tonne" </a:t>
          </a:r>
        </a:p>
        <a:p>
          <a:pPr marL="171450" lvl="0" indent="-171450">
            <a:buFont typeface="Arial" panose="020B0604020202020204" pitchFamily="34" charset="0"/>
            <a:buChar char="•"/>
          </a:pPr>
          <a:r>
            <a:rPr lang="de-DE" sz="1100">
              <a:solidFill>
                <a:schemeClr val="dk1"/>
              </a:solidFill>
              <a:effectLst/>
              <a:latin typeface="+mn-lt"/>
              <a:ea typeface="+mn-ea"/>
              <a:cs typeface="+mn-cs"/>
            </a:rPr>
            <a:t>Lebensmittel retten: „To good to go“ (toogoodtogo.de/de)</a:t>
          </a:r>
        </a:p>
        <a:p>
          <a:pPr marL="171450" lvl="0" indent="-171450">
            <a:buFont typeface="Arial" panose="020B0604020202020204" pitchFamily="34" charset="0"/>
            <a:buChar char="•"/>
          </a:pPr>
          <a:r>
            <a:rPr lang="de-DE" sz="1100">
              <a:solidFill>
                <a:schemeClr val="dk1"/>
              </a:solidFill>
              <a:effectLst/>
              <a:latin typeface="+mn-lt"/>
              <a:ea typeface="+mn-ea"/>
              <a:cs typeface="+mn-cs"/>
            </a:rPr>
            <a:t>Pausenverkauf: Backwaren und Getränke aus der Region, Verwendung von Mehrwegflaschen mit Pfandautomat</a:t>
          </a:r>
        </a:p>
        <a:p>
          <a:pPr marL="171450" lvl="0" indent="-171450">
            <a:buFont typeface="Arial" panose="020B0604020202020204" pitchFamily="34" charset="0"/>
            <a:buChar char="•"/>
          </a:pPr>
          <a:r>
            <a:rPr lang="de-DE" sz="1100">
              <a:solidFill>
                <a:schemeClr val="dk1"/>
              </a:solidFill>
              <a:effectLst/>
              <a:latin typeface="+mn-lt"/>
              <a:ea typeface="+mn-ea"/>
              <a:cs typeface="+mn-cs"/>
            </a:rPr>
            <a:t>Schülerbistro: Mehrwegbecher verwenden</a:t>
          </a:r>
        </a:p>
        <a:p>
          <a:pPr marL="171450" lvl="0" indent="-171450">
            <a:buFont typeface="Arial" panose="020B0604020202020204" pitchFamily="34" charset="0"/>
            <a:buChar char="•"/>
          </a:pPr>
          <a:r>
            <a:rPr lang="de-DE" sz="1100">
              <a:solidFill>
                <a:schemeClr val="dk1"/>
              </a:solidFill>
              <a:effectLst/>
              <a:latin typeface="+mn-lt"/>
              <a:ea typeface="+mn-ea"/>
              <a:cs typeface="+mn-cs"/>
            </a:rPr>
            <a:t>Schulimkerei – Schule besitzt Bienenvolk, der Honig wird an der Schule verkauft (Regionaler Honig)</a:t>
          </a:r>
        </a:p>
        <a:p>
          <a:pPr marL="171450" lvl="0" indent="-171450">
            <a:buFont typeface="Arial" panose="020B0604020202020204" pitchFamily="34" charset="0"/>
            <a:buChar char="•"/>
          </a:pPr>
          <a:r>
            <a:rPr lang="de-DE" sz="1100">
              <a:solidFill>
                <a:schemeClr val="dk1"/>
              </a:solidFill>
              <a:effectLst/>
              <a:latin typeface="+mn-lt"/>
              <a:ea typeface="+mn-ea"/>
              <a:cs typeface="+mn-cs"/>
            </a:rPr>
            <a:t>Schulverpflegung: Bioprodukte verwenden</a:t>
          </a:r>
        </a:p>
        <a:p>
          <a:pPr marL="171450" lvl="0" indent="-171450">
            <a:buFont typeface="Arial" panose="020B0604020202020204" pitchFamily="34" charset="0"/>
            <a:buChar char="•"/>
          </a:pPr>
          <a:r>
            <a:rPr lang="de-DE" sz="1100">
              <a:solidFill>
                <a:schemeClr val="dk1"/>
              </a:solidFill>
              <a:effectLst/>
              <a:latin typeface="+mn-lt"/>
              <a:ea typeface="+mn-ea"/>
              <a:cs typeface="+mn-cs"/>
            </a:rPr>
            <a:t>Schulverpflegung: regionale und saisonale Produkte verwenden</a:t>
          </a:r>
        </a:p>
        <a:p>
          <a:pPr marL="171450" lvl="0" indent="-171450">
            <a:buFont typeface="Arial" panose="020B0604020202020204" pitchFamily="34" charset="0"/>
            <a:buChar char="•"/>
          </a:pPr>
          <a:r>
            <a:rPr lang="de-DE" sz="1100">
              <a:solidFill>
                <a:schemeClr val="dk1"/>
              </a:solidFill>
              <a:effectLst/>
              <a:latin typeface="+mn-lt"/>
              <a:ea typeface="+mn-ea"/>
              <a:cs typeface="+mn-cs"/>
            </a:rPr>
            <a:t>Schulverpflegung: Vegetarische Tage einführen</a:t>
          </a:r>
        </a:p>
        <a:p>
          <a:pPr marL="171450" lvl="0" indent="-171450">
            <a:buFont typeface="Arial" panose="020B0604020202020204" pitchFamily="34" charset="0"/>
            <a:buChar char="•"/>
          </a:pPr>
          <a:r>
            <a:rPr lang="de-DE" sz="1100">
              <a:solidFill>
                <a:schemeClr val="dk1"/>
              </a:solidFill>
              <a:effectLst/>
              <a:latin typeface="+mn-lt"/>
              <a:ea typeface="+mn-ea"/>
              <a:cs typeface="+mn-cs"/>
            </a:rPr>
            <a:t>Trinkwasserbrunnen zur Wiederzubefüllung von Trinkwasserflaschen</a:t>
          </a:r>
        </a:p>
        <a:p>
          <a:pPr marL="171450" lvl="0" indent="-171450">
            <a:buFont typeface="Arial" panose="020B0604020202020204" pitchFamily="34" charset="0"/>
            <a:buChar char="•"/>
          </a:pPr>
          <a:r>
            <a:rPr lang="de-DE" sz="1100">
              <a:solidFill>
                <a:schemeClr val="dk1"/>
              </a:solidFill>
              <a:effectLst/>
              <a:latin typeface="+mn-lt"/>
              <a:ea typeface="+mn-ea"/>
              <a:cs typeface="+mn-cs"/>
            </a:rPr>
            <a:t>Urban Gardening: Bewirtschaftung und Nutzung des Schulgartens, Verwendung der Produkte in der Mensa</a:t>
          </a:r>
        </a:p>
        <a:p>
          <a:pPr marL="171450" lvl="0" indent="-171450">
            <a:buFont typeface="Arial" panose="020B0604020202020204" pitchFamily="34" charset="0"/>
            <a:buChar char="•"/>
          </a:pPr>
          <a:r>
            <a:rPr lang="de-DE" sz="1100">
              <a:solidFill>
                <a:schemeClr val="dk1"/>
              </a:solidFill>
              <a:effectLst/>
              <a:latin typeface="+mn-lt"/>
              <a:ea typeface="+mn-ea"/>
              <a:cs typeface="+mn-cs"/>
            </a:rPr>
            <a:t>Vegetarisches Kochbuch gestalten</a:t>
          </a:r>
        </a:p>
        <a:p>
          <a:pPr marL="171450" lvl="0" indent="-171450">
            <a:buFont typeface="Arial" panose="020B0604020202020204" pitchFamily="34" charset="0"/>
            <a:buChar char="•"/>
          </a:pPr>
          <a:r>
            <a:rPr lang="de-DE" sz="1100">
              <a:solidFill>
                <a:schemeClr val="dk1"/>
              </a:solidFill>
              <a:effectLst/>
              <a:latin typeface="+mn-lt"/>
              <a:ea typeface="+mn-ea"/>
              <a:cs typeface="+mn-cs"/>
            </a:rPr>
            <a:t>Veggie-Day/-Pausen: Durchführung eines regelmäßig stattfindenden eines/r fleischfreien Tages / Pause mit regionalen, saisonalen und fair gehandelten Produkten (sowohl Zwischenpausen als auch Mittagsverpflegung)</a:t>
          </a:r>
        </a:p>
        <a:p>
          <a:pPr marL="171450" lvl="0" indent="-171450">
            <a:buFont typeface="Arial" panose="020B0604020202020204" pitchFamily="34" charset="0"/>
            <a:buChar char="•"/>
          </a:pPr>
          <a:r>
            <a:rPr lang="de-DE" sz="1100">
              <a:solidFill>
                <a:schemeClr val="dk1"/>
              </a:solidFill>
              <a:effectLst/>
              <a:latin typeface="+mn-lt"/>
              <a:ea typeface="+mn-ea"/>
              <a:cs typeface="+mn-cs"/>
            </a:rPr>
            <a:t>W- und P-Seminare zum Thema nachhaltige Ernährung</a:t>
          </a:r>
        </a:p>
        <a:p>
          <a:pPr marL="171450" lvl="0" indent="-171450">
            <a:buFont typeface="Arial" panose="020B0604020202020204" pitchFamily="34" charset="0"/>
            <a:buChar char="•"/>
          </a:pPr>
          <a:r>
            <a:rPr lang="de-DE" sz="1100">
              <a:solidFill>
                <a:schemeClr val="dk1"/>
              </a:solidFill>
              <a:effectLst/>
              <a:latin typeface="+mn-lt"/>
              <a:ea typeface="+mn-ea"/>
              <a:cs typeface="+mn-cs"/>
            </a:rPr>
            <a:t>Weltacker in der Schule gestalten: Selbstersteller Weltacker in kleinerem Maßstab als Ausstellung konzipiert: Klimascouts der 10.Klassen führen die 7.Klassen. (https://www.2000m2.eu/de/)</a:t>
          </a:r>
        </a:p>
        <a:p>
          <a:pPr marL="171450" lvl="0" indent="-171450">
            <a:buFont typeface="Arial" panose="020B0604020202020204" pitchFamily="34" charset="0"/>
            <a:buChar char="•"/>
          </a:pPr>
          <a:r>
            <a:rPr lang="de-DE" sz="1100">
              <a:solidFill>
                <a:schemeClr val="dk1"/>
              </a:solidFill>
              <a:effectLst/>
              <a:latin typeface="+mn-lt"/>
              <a:ea typeface="+mn-ea"/>
              <a:cs typeface="+mn-cs"/>
            </a:rPr>
            <a:t>Workshops durchführen, z. B. "Mahlzeit for Future" zur Sensibilisierung der Schülerinnen und Schüler hinsichtlich einer klimafreundlichen Ernährung</a:t>
          </a:r>
        </a:p>
        <a:p>
          <a:pPr marL="171450" lvl="0" indent="-171450">
            <a:buFont typeface="Arial" panose="020B0604020202020204" pitchFamily="34" charset="0"/>
            <a:buChar char="•"/>
          </a:pPr>
          <a:r>
            <a:rPr lang="de-DE" sz="1100">
              <a:solidFill>
                <a:schemeClr val="dk1"/>
              </a:solidFill>
              <a:effectLst/>
              <a:latin typeface="+mn-lt"/>
              <a:ea typeface="+mn-ea"/>
              <a:cs typeface="+mn-cs"/>
            </a:rPr>
            <a:t>...</a:t>
          </a:r>
        </a:p>
        <a:p>
          <a:endParaRPr lang="de-DE" sz="1600" baseline="0"/>
        </a:p>
      </xdr:txBody>
    </xdr:sp>
    <xdr:clientData/>
  </xdr:twoCellAnchor>
  <xdr:twoCellAnchor editAs="oneCell">
    <xdr:from>
      <xdr:col>0</xdr:col>
      <xdr:colOff>239695</xdr:colOff>
      <xdr:row>49</xdr:row>
      <xdr:rowOff>68035</xdr:rowOff>
    </xdr:from>
    <xdr:to>
      <xdr:col>1</xdr:col>
      <xdr:colOff>916238</xdr:colOff>
      <xdr:row>54</xdr:row>
      <xdr:rowOff>103223</xdr:rowOff>
    </xdr:to>
    <xdr:pic>
      <xdr:nvPicPr>
        <xdr:cNvPr id="5" name="Grafik 4">
          <a:extLst>
            <a:ext uri="{FF2B5EF4-FFF2-40B4-BE49-F238E27FC236}">
              <a16:creationId xmlns:a16="http://schemas.microsoft.com/office/drawing/2014/main" id="{C38EDEAF-8FD8-4A43-A699-F0D240BBF44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239695" y="11871708"/>
          <a:ext cx="994187" cy="987688"/>
        </a:xfrm>
        <a:prstGeom prst="rect">
          <a:avLst/>
        </a:prstGeom>
      </xdr:spPr>
    </xdr:pic>
    <xdr:clientData/>
  </xdr:twoCellAnchor>
  <xdr:twoCellAnchor>
    <xdr:from>
      <xdr:col>1</xdr:col>
      <xdr:colOff>1224069</xdr:colOff>
      <xdr:row>49</xdr:row>
      <xdr:rowOff>97861</xdr:rowOff>
    </xdr:from>
    <xdr:to>
      <xdr:col>11</xdr:col>
      <xdr:colOff>0</xdr:colOff>
      <xdr:row>54</xdr:row>
      <xdr:rowOff>67261</xdr:rowOff>
    </xdr:to>
    <xdr:sp macro="" textlink="">
      <xdr:nvSpPr>
        <xdr:cNvPr id="8" name="Rechteck: abgerundete Ecken 7">
          <a:extLst>
            <a:ext uri="{FF2B5EF4-FFF2-40B4-BE49-F238E27FC236}">
              <a16:creationId xmlns:a16="http://schemas.microsoft.com/office/drawing/2014/main" id="{E25B8BCC-E3AB-46AD-BBB8-72E1DD7D106C}"/>
            </a:ext>
          </a:extLst>
        </xdr:cNvPr>
        <xdr:cNvSpPr/>
      </xdr:nvSpPr>
      <xdr:spPr>
        <a:xfrm>
          <a:off x="1597742" y="11901534"/>
          <a:ext cx="7847850" cy="921900"/>
        </a:xfrm>
        <a:prstGeom prst="roundRect">
          <a:avLst>
            <a:gd name="adj" fmla="val 9474"/>
          </a:avLst>
        </a:prstGeom>
        <a:solidFill>
          <a:srgbClr val="79B33D"/>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111964</xdr:colOff>
      <xdr:row>0</xdr:row>
      <xdr:rowOff>97535</xdr:rowOff>
    </xdr:from>
    <xdr:to>
      <xdr:col>1</xdr:col>
      <xdr:colOff>433829</xdr:colOff>
      <xdr:row>3</xdr:row>
      <xdr:rowOff>143563</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11964" y="97535"/>
          <a:ext cx="632182" cy="632182"/>
        </a:xfrm>
        <a:prstGeom prst="rect">
          <a:avLst/>
        </a:prstGeom>
      </xdr:spPr>
    </xdr:pic>
    <xdr:clientData/>
  </xdr:twoCellAnchor>
  <xdr:twoCellAnchor>
    <xdr:from>
      <xdr:col>1</xdr:col>
      <xdr:colOff>482414</xdr:colOff>
      <xdr:row>1</xdr:row>
      <xdr:rowOff>62594</xdr:rowOff>
    </xdr:from>
    <xdr:to>
      <xdr:col>8</xdr:col>
      <xdr:colOff>165447</xdr:colOff>
      <xdr:row>3</xdr:row>
      <xdr:rowOff>4964</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853889" y="253094"/>
          <a:ext cx="663628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Kohlenstoffbindung</a:t>
          </a:r>
          <a:endParaRPr lang="de-DE" sz="1600" baseline="0"/>
        </a:p>
      </xdr:txBody>
    </xdr:sp>
    <xdr:clientData/>
  </xdr:twoCellAnchor>
  <xdr:twoCellAnchor editAs="oneCell">
    <xdr:from>
      <xdr:col>13</xdr:col>
      <xdr:colOff>5359</xdr:colOff>
      <xdr:row>0</xdr:row>
      <xdr:rowOff>133009</xdr:rowOff>
    </xdr:from>
    <xdr:to>
      <xdr:col>14</xdr:col>
      <xdr:colOff>121343</xdr:colOff>
      <xdr:row>5</xdr:row>
      <xdr:rowOff>2392</xdr:rowOff>
    </xdr:to>
    <xdr:pic>
      <xdr:nvPicPr>
        <xdr:cNvPr id="2" name="Grafik 1">
          <a:extLst>
            <a:ext uri="{FF2B5EF4-FFF2-40B4-BE49-F238E27FC236}">
              <a16:creationId xmlns:a16="http://schemas.microsoft.com/office/drawing/2014/main" id="{5703E5FB-F233-4A9C-8A7E-F6489EE37DF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98330" y="133009"/>
          <a:ext cx="877984" cy="813600"/>
        </a:xfrm>
        <a:prstGeom prst="rect">
          <a:avLst/>
        </a:prstGeom>
      </xdr:spPr>
    </xdr:pic>
    <xdr:clientData/>
  </xdr:twoCellAnchor>
  <xdr:twoCellAnchor>
    <xdr:from>
      <xdr:col>14</xdr:col>
      <xdr:colOff>334332</xdr:colOff>
      <xdr:row>1</xdr:row>
      <xdr:rowOff>28955</xdr:rowOff>
    </xdr:from>
    <xdr:to>
      <xdr:col>24</xdr:col>
      <xdr:colOff>118220</xdr:colOff>
      <xdr:row>4</xdr:row>
      <xdr:rowOff>12146</xdr:rowOff>
    </xdr:to>
    <xdr:sp macro="" textlink="">
      <xdr:nvSpPr>
        <xdr:cNvPr id="5" name="Textfeld 4">
          <a:extLst>
            <a:ext uri="{FF2B5EF4-FFF2-40B4-BE49-F238E27FC236}">
              <a16:creationId xmlns:a16="http://schemas.microsoft.com/office/drawing/2014/main" id="{8332CEBB-7B09-46A8-B1B4-14BA6108123F}"/>
            </a:ext>
          </a:extLst>
        </xdr:cNvPr>
        <xdr:cNvSpPr txBox="1"/>
      </xdr:nvSpPr>
      <xdr:spPr>
        <a:xfrm>
          <a:off x="12089303" y="219455"/>
          <a:ext cx="7403888"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Kohlenstoffbindung</a:t>
          </a:r>
          <a:endParaRPr lang="de-DE" sz="1600"/>
        </a:p>
      </xdr:txBody>
    </xdr:sp>
    <xdr:clientData/>
  </xdr:twoCellAnchor>
  <xdr:twoCellAnchor>
    <xdr:from>
      <xdr:col>0</xdr:col>
      <xdr:colOff>248640</xdr:colOff>
      <xdr:row>13</xdr:row>
      <xdr:rowOff>171944</xdr:rowOff>
    </xdr:from>
    <xdr:to>
      <xdr:col>11</xdr:col>
      <xdr:colOff>22412</xdr:colOff>
      <xdr:row>27</xdr:row>
      <xdr:rowOff>67235</xdr:rowOff>
    </xdr:to>
    <xdr:sp macro="" textlink="">
      <xdr:nvSpPr>
        <xdr:cNvPr id="7" name="Textfeld 6">
          <a:extLst>
            <a:ext uri="{FF2B5EF4-FFF2-40B4-BE49-F238E27FC236}">
              <a16:creationId xmlns:a16="http://schemas.microsoft.com/office/drawing/2014/main" id="{B5C66ADC-6CD4-426D-90C9-5B55B85A9F3A}"/>
            </a:ext>
          </a:extLst>
        </xdr:cNvPr>
        <xdr:cNvSpPr txBox="1"/>
      </xdr:nvSpPr>
      <xdr:spPr>
        <a:xfrm>
          <a:off x="248640" y="5326650"/>
          <a:ext cx="9926301" cy="2573497"/>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Kohlenstoffbindung</a:t>
          </a:r>
        </a:p>
        <a:p>
          <a:endParaRPr lang="de-DE" sz="1600" baseline="0"/>
        </a:p>
        <a:p>
          <a:pPr marL="171450" indent="-171450">
            <a:buFont typeface="Arial" panose="020B0604020202020204" pitchFamily="34" charset="0"/>
            <a:buChar char="•"/>
          </a:pPr>
          <a:r>
            <a:rPr lang="de-DE" sz="1100">
              <a:solidFill>
                <a:schemeClr val="dk1"/>
              </a:solidFill>
              <a:effectLst/>
              <a:latin typeface="+mn-lt"/>
              <a:ea typeface="+mn-ea"/>
              <a:cs typeface="+mn-cs"/>
            </a:rPr>
            <a:t>Bäume auf dem Schulgelände pflanzen</a:t>
          </a:r>
        </a:p>
        <a:p>
          <a:pPr marL="171450" indent="-171450">
            <a:buFont typeface="Arial" panose="020B0604020202020204" pitchFamily="34" charset="0"/>
            <a:buChar char="•"/>
          </a:pPr>
          <a:r>
            <a:rPr lang="de-DE" sz="1100">
              <a:solidFill>
                <a:schemeClr val="dk1"/>
              </a:solidFill>
              <a:effectLst/>
              <a:latin typeface="+mn-lt"/>
              <a:ea typeface="+mn-ea"/>
              <a:cs typeface="+mn-cs"/>
            </a:rPr>
            <a:t>Bäume pflanzen mit externen Partnern, z. B. mit dem Bergwaldprojekt „Aufbäumen“, dem Forstamt, den bayerischen Staatsforsten,….</a:t>
          </a:r>
        </a:p>
        <a:p>
          <a:pPr marL="171450" indent="-171450">
            <a:buFont typeface="Arial" panose="020B0604020202020204" pitchFamily="34" charset="0"/>
            <a:buChar char="•"/>
          </a:pPr>
          <a:r>
            <a:rPr lang="de-DE" sz="1100">
              <a:solidFill>
                <a:schemeClr val="dk1"/>
              </a:solidFill>
              <a:effectLst/>
              <a:latin typeface="+mn-lt"/>
              <a:ea typeface="+mn-ea"/>
              <a:cs typeface="+mn-cs"/>
            </a:rPr>
            <a:t>Baumpatenschaft: Ein Kind, ein Baum - Jedes Kind pflanzt in der 5. Klasse einen Baum auf ausgewiesenen Flächen der Kommune (Kooperation mit der Kommune)</a:t>
          </a:r>
        </a:p>
        <a:p>
          <a:pPr marL="171450" indent="-171450">
            <a:buFont typeface="Arial" panose="020B0604020202020204" pitchFamily="34" charset="0"/>
            <a:buChar char="•"/>
          </a:pPr>
          <a:r>
            <a:rPr lang="de-DE" sz="1100">
              <a:solidFill>
                <a:schemeClr val="dk1"/>
              </a:solidFill>
              <a:effectLst/>
              <a:latin typeface="+mn-lt"/>
              <a:ea typeface="+mn-ea"/>
              <a:cs typeface="+mn-cs"/>
            </a:rPr>
            <a:t>Begrünung Pausenhof</a:t>
          </a:r>
        </a:p>
        <a:p>
          <a:pPr marL="171450" indent="-171450">
            <a:buFont typeface="Arial" panose="020B0604020202020204" pitchFamily="34" charset="0"/>
            <a:buChar char="•"/>
          </a:pPr>
          <a:r>
            <a:rPr lang="de-DE" sz="1100">
              <a:solidFill>
                <a:schemeClr val="dk1"/>
              </a:solidFill>
              <a:effectLst/>
              <a:latin typeface="+mn-lt"/>
              <a:ea typeface="+mn-ea"/>
              <a:cs typeface="+mn-cs"/>
            </a:rPr>
            <a:t>Ecosia als Suchmaschine einführen</a:t>
          </a:r>
        </a:p>
        <a:p>
          <a:pPr marL="171450" indent="-171450">
            <a:buFont typeface="Arial" panose="020B0604020202020204" pitchFamily="34" charset="0"/>
            <a:buChar char="•"/>
          </a:pPr>
          <a:r>
            <a:rPr lang="de-DE" sz="1100">
              <a:solidFill>
                <a:schemeClr val="dk1"/>
              </a:solidFill>
              <a:effectLst/>
              <a:latin typeface="+mn-lt"/>
              <a:ea typeface="+mn-ea"/>
              <a:cs typeface="+mn-cs"/>
            </a:rPr>
            <a:t>Heckenpflanzungen</a:t>
          </a:r>
        </a:p>
        <a:p>
          <a:pPr marL="171450" indent="-171450">
            <a:buFont typeface="Arial" panose="020B0604020202020204" pitchFamily="34" charset="0"/>
            <a:buChar char="•"/>
          </a:pPr>
          <a:r>
            <a:rPr lang="de-DE" sz="1100">
              <a:solidFill>
                <a:schemeClr val="dk1"/>
              </a:solidFill>
              <a:effectLst/>
              <a:latin typeface="+mn-lt"/>
              <a:ea typeface="+mn-ea"/>
              <a:cs typeface="+mn-cs"/>
            </a:rPr>
            <a:t>Korksammlung zum Erhalt der Eichen</a:t>
          </a:r>
        </a:p>
        <a:p>
          <a:pPr marL="171450" indent="-171450">
            <a:buFont typeface="Arial" panose="020B0604020202020204" pitchFamily="34" charset="0"/>
            <a:buChar char="•"/>
          </a:pPr>
          <a:r>
            <a:rPr lang="de-DE" sz="1100">
              <a:solidFill>
                <a:schemeClr val="dk1"/>
              </a:solidFill>
              <a:effectLst/>
              <a:latin typeface="+mn-lt"/>
              <a:ea typeface="+mn-ea"/>
              <a:cs typeface="+mn-cs"/>
            </a:rPr>
            <a:t>Moorschutzaktionen durchführen (Entbuschung)</a:t>
          </a:r>
        </a:p>
        <a:p>
          <a:pPr marL="171450" indent="-171450">
            <a:buFont typeface="Arial" panose="020B0604020202020204" pitchFamily="34" charset="0"/>
            <a:buChar char="•"/>
          </a:pPr>
          <a:r>
            <a:rPr lang="de-DE" sz="1100">
              <a:solidFill>
                <a:schemeClr val="dk1"/>
              </a:solidFill>
              <a:effectLst/>
              <a:latin typeface="+mn-lt"/>
              <a:ea typeface="+mn-ea"/>
              <a:cs typeface="+mn-cs"/>
            </a:rPr>
            <a:t>Pflege Streuobstwiese</a:t>
          </a:r>
        </a:p>
        <a:p>
          <a:pPr marL="171450" indent="-171450">
            <a:buFont typeface="Arial" panose="020B0604020202020204" pitchFamily="34" charset="0"/>
            <a:buChar char="•"/>
          </a:pPr>
          <a:r>
            <a:rPr lang="de-DE" sz="1100">
              <a:solidFill>
                <a:schemeClr val="dk1"/>
              </a:solidFill>
              <a:effectLst/>
              <a:latin typeface="+mn-lt"/>
              <a:ea typeface="+mn-ea"/>
              <a:cs typeface="+mn-cs"/>
            </a:rPr>
            <a:t>Weihnachtsbaumfällung im Moor</a:t>
          </a:r>
        </a:p>
        <a:p>
          <a:pPr marL="171450" indent="-171450">
            <a:buFont typeface="Arial" panose="020B0604020202020204" pitchFamily="34" charset="0"/>
            <a:buChar char="•"/>
          </a:pPr>
          <a:r>
            <a:rPr lang="de-DE" sz="1100">
              <a:solidFill>
                <a:schemeClr val="dk1"/>
              </a:solidFill>
              <a:effectLst/>
              <a:latin typeface="+mn-lt"/>
              <a:ea typeface="+mn-ea"/>
              <a:cs typeface="+mn-cs"/>
            </a:rPr>
            <a:t>Wurmkiste: Direkte Verwertung von anfallendem Biomüll. Der Humus kann z. B. fürs Urban-Gardening verwendet werden.</a:t>
          </a:r>
          <a:endParaRPr lang="de-DE" sz="1600"/>
        </a:p>
      </xdr:txBody>
    </xdr:sp>
    <xdr:clientData/>
  </xdr:twoCellAnchor>
  <xdr:twoCellAnchor>
    <xdr:from>
      <xdr:col>14</xdr:col>
      <xdr:colOff>429386</xdr:colOff>
      <xdr:row>5</xdr:row>
      <xdr:rowOff>198033</xdr:rowOff>
    </xdr:from>
    <xdr:to>
      <xdr:col>24</xdr:col>
      <xdr:colOff>642582</xdr:colOff>
      <xdr:row>8</xdr:row>
      <xdr:rowOff>459827</xdr:rowOff>
    </xdr:to>
    <xdr:sp macro="" textlink="">
      <xdr:nvSpPr>
        <xdr:cNvPr id="14" name="Rechteck: abgerundete Ecken 13">
          <a:extLst>
            <a:ext uri="{FF2B5EF4-FFF2-40B4-BE49-F238E27FC236}">
              <a16:creationId xmlns:a16="http://schemas.microsoft.com/office/drawing/2014/main" id="{6EFF2F47-08B0-467A-8615-75363F97AABA}"/>
            </a:ext>
          </a:extLst>
        </xdr:cNvPr>
        <xdr:cNvSpPr/>
      </xdr:nvSpPr>
      <xdr:spPr>
        <a:xfrm>
          <a:off x="12838162" y="1150533"/>
          <a:ext cx="7833196" cy="1654415"/>
        </a:xfrm>
        <a:prstGeom prst="roundRect">
          <a:avLst>
            <a:gd name="adj" fmla="val 3638"/>
          </a:avLst>
        </a:prstGeom>
        <a:solidFill>
          <a:srgbClr val="5E8A43"/>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de-DE" sz="1100" b="0" baseline="0">
            <a:solidFill>
              <a:schemeClr val="lt1"/>
            </a:solidFill>
            <a:effectLst/>
            <a:latin typeface="+mn-lt"/>
            <a:ea typeface="+mn-ea"/>
            <a:cs typeface="+mn-cs"/>
          </a:endParaRPr>
        </a:p>
        <a:p>
          <a:r>
            <a:rPr lang="de-DE" sz="1100" baseline="0">
              <a:solidFill>
                <a:schemeClr val="lt1"/>
              </a:solidFill>
              <a:effectLst/>
              <a:latin typeface="+mn-lt"/>
              <a:ea typeface="+mn-ea"/>
              <a:cs typeface="+mn-cs"/>
            </a:rPr>
            <a:t>Zum jetzigen Zeitpunkt sind im Handlungsfeld Kohlenstoffbindung keine CO</a:t>
          </a:r>
          <a:r>
            <a:rPr lang="de-DE" sz="1100" baseline="-25000">
              <a:solidFill>
                <a:schemeClr val="lt1"/>
              </a:solidFill>
              <a:effectLst/>
              <a:latin typeface="+mn-lt"/>
              <a:ea typeface="+mn-ea"/>
              <a:cs typeface="+mn-cs"/>
            </a:rPr>
            <a:t>2</a:t>
          </a:r>
          <a:r>
            <a:rPr lang="de-DE" sz="1100" baseline="0">
              <a:solidFill>
                <a:schemeClr val="lt1"/>
              </a:solidFill>
              <a:effectLst/>
              <a:latin typeface="+mn-lt"/>
              <a:ea typeface="+mn-ea"/>
              <a:cs typeface="+mn-cs"/>
            </a:rPr>
            <a:t>-Einsparungen berechenbar, da Maßnahmen zur Kohlenstoffbindung in der Regel</a:t>
          </a:r>
        </a:p>
        <a:p>
          <a:r>
            <a:rPr lang="de-DE" sz="1100" baseline="0">
              <a:solidFill>
                <a:schemeClr val="lt1"/>
              </a:solidFill>
              <a:effectLst/>
              <a:latin typeface="+mn-lt"/>
              <a:ea typeface="+mn-ea"/>
              <a:cs typeface="+mn-cs"/>
            </a:rPr>
            <a:t>    a) eine Doppelzählung darstellen, weil z. B. Baumpflanzungen oder Moorschutzmaßnahmen in den Klimaschutzplänen 	           </a:t>
          </a:r>
        </a:p>
        <a:p>
          <a:r>
            <a:rPr lang="de-DE" sz="1100" baseline="0">
              <a:solidFill>
                <a:schemeClr val="lt1"/>
              </a:solidFill>
              <a:effectLst/>
              <a:latin typeface="+mn-lt"/>
              <a:ea typeface="+mn-ea"/>
              <a:cs typeface="+mn-cs"/>
            </a:rPr>
            <a:t>         von Bund und Ländern bereits erfasst sind  (Doppelzählung) </a:t>
          </a:r>
        </a:p>
        <a:p>
          <a:r>
            <a:rPr lang="de-DE" sz="1100" baseline="0">
              <a:solidFill>
                <a:schemeClr val="lt1"/>
              </a:solidFill>
              <a:effectLst/>
              <a:latin typeface="+mn-lt"/>
              <a:ea typeface="+mn-ea"/>
              <a:cs typeface="+mn-cs"/>
            </a:rPr>
            <a:t>    b) sehr unsicher hinsichtlich der dauerhaften Kohenstoffbindung sind (Permanenz)</a:t>
          </a:r>
        </a:p>
        <a:p>
          <a:r>
            <a:rPr lang="de-DE" sz="1100" baseline="0">
              <a:solidFill>
                <a:schemeClr val="lt1"/>
              </a:solidFill>
              <a:effectLst/>
              <a:latin typeface="+mn-lt"/>
              <a:ea typeface="+mn-ea"/>
              <a:cs typeface="+mn-cs"/>
            </a:rPr>
            <a:t>    c) Datenlage sehr unsicher ist. </a:t>
          </a:r>
        </a:p>
        <a:p>
          <a:r>
            <a:rPr lang="de-DE" sz="1100" baseline="0">
              <a:solidFill>
                <a:schemeClr val="lt1"/>
              </a:solidFill>
              <a:effectLst/>
              <a:latin typeface="+mn-lt"/>
              <a:ea typeface="+mn-ea"/>
              <a:cs typeface="+mn-cs"/>
            </a:rPr>
            <a:t>    d) die Einsparungen zu gering sind. </a:t>
          </a:r>
        </a:p>
        <a:p>
          <a:endParaRPr lang="de-DE">
            <a:effectLst/>
          </a:endParaRPr>
        </a:p>
      </xdr:txBody>
    </xdr:sp>
    <xdr:clientData/>
  </xdr:twoCellAnchor>
  <xdr:twoCellAnchor>
    <xdr:from>
      <xdr:col>1</xdr:col>
      <xdr:colOff>1252911</xdr:colOff>
      <xdr:row>28</xdr:row>
      <xdr:rowOff>151802</xdr:rowOff>
    </xdr:from>
    <xdr:to>
      <xdr:col>10</xdr:col>
      <xdr:colOff>1060174</xdr:colOff>
      <xdr:row>33</xdr:row>
      <xdr:rowOff>121202</xdr:rowOff>
    </xdr:to>
    <xdr:sp macro="" textlink="">
      <xdr:nvSpPr>
        <xdr:cNvPr id="9" name="Rechteck: abgerundete Ecken 8">
          <a:extLst>
            <a:ext uri="{FF2B5EF4-FFF2-40B4-BE49-F238E27FC236}">
              <a16:creationId xmlns:a16="http://schemas.microsoft.com/office/drawing/2014/main" id="{FDBDE438-7A3C-4A02-B0A7-84680782268A}"/>
            </a:ext>
          </a:extLst>
        </xdr:cNvPr>
        <xdr:cNvSpPr/>
      </xdr:nvSpPr>
      <xdr:spPr>
        <a:xfrm>
          <a:off x="1625628" y="8185932"/>
          <a:ext cx="9017524" cy="921900"/>
        </a:xfrm>
        <a:prstGeom prst="roundRect">
          <a:avLst>
            <a:gd name="adj" fmla="val 9474"/>
          </a:avLst>
        </a:prstGeom>
        <a:solidFill>
          <a:srgbClr val="5E8A43"/>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1</xdr:col>
      <xdr:colOff>54696</xdr:colOff>
      <xdr:row>28</xdr:row>
      <xdr:rowOff>84241</xdr:rowOff>
    </xdr:from>
    <xdr:to>
      <xdr:col>1</xdr:col>
      <xdr:colOff>1047927</xdr:colOff>
      <xdr:row>33</xdr:row>
      <xdr:rowOff>119429</xdr:rowOff>
    </xdr:to>
    <xdr:pic>
      <xdr:nvPicPr>
        <xdr:cNvPr id="10" name="Grafik 9">
          <a:extLst>
            <a:ext uri="{FF2B5EF4-FFF2-40B4-BE49-F238E27FC236}">
              <a16:creationId xmlns:a16="http://schemas.microsoft.com/office/drawing/2014/main" id="{A2A5FA94-8EB0-487A-A4DF-153C85A7D0B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427413" y="8118371"/>
          <a:ext cx="993231" cy="987688"/>
        </a:xfrm>
        <a:prstGeom prst="rect">
          <a:avLst/>
        </a:prstGeom>
      </xdr:spPr>
    </xdr:pic>
    <xdr:clientData/>
  </xdr:twoCellAnchor>
  <xdr:twoCellAnchor editAs="oneCell">
    <xdr:from>
      <xdr:col>13</xdr:col>
      <xdr:colOff>3024</xdr:colOff>
      <xdr:row>5</xdr:row>
      <xdr:rowOff>275168</xdr:rowOff>
    </xdr:from>
    <xdr:to>
      <xdr:col>14</xdr:col>
      <xdr:colOff>231955</xdr:colOff>
      <xdr:row>7</xdr:row>
      <xdr:rowOff>500856</xdr:rowOff>
    </xdr:to>
    <xdr:pic>
      <xdr:nvPicPr>
        <xdr:cNvPr id="11" name="Grafik 10">
          <a:extLst>
            <a:ext uri="{FF2B5EF4-FFF2-40B4-BE49-F238E27FC236}">
              <a16:creationId xmlns:a16="http://schemas.microsoft.com/office/drawing/2014/main" id="{8D28EEF6-88D7-49E6-91D1-C3D8BEAC6F7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10707310" y="1182311"/>
          <a:ext cx="990931" cy="9876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1</xdr:col>
      <xdr:colOff>346184</xdr:colOff>
      <xdr:row>3</xdr:row>
      <xdr:rowOff>164354</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300" y="95250"/>
          <a:ext cx="637311" cy="633600"/>
        </a:xfrm>
        <a:prstGeom prst="rect">
          <a:avLst/>
        </a:prstGeom>
      </xdr:spPr>
    </xdr:pic>
    <xdr:clientData/>
  </xdr:twoCellAnchor>
  <xdr:twoCellAnchor>
    <xdr:from>
      <xdr:col>1</xdr:col>
      <xdr:colOff>501464</xdr:colOff>
      <xdr:row>1</xdr:row>
      <xdr:rowOff>58198</xdr:rowOff>
    </xdr:from>
    <xdr:to>
      <xdr:col>8</xdr:col>
      <xdr:colOff>183032</xdr:colOff>
      <xdr:row>3</xdr:row>
      <xdr:rowOff>568</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875137" y="248698"/>
          <a:ext cx="6642145"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Kommunikation &amp; Vernetzung</a:t>
          </a:r>
        </a:p>
      </xdr:txBody>
    </xdr:sp>
    <xdr:clientData/>
  </xdr:twoCellAnchor>
  <xdr:twoCellAnchor>
    <xdr:from>
      <xdr:col>0</xdr:col>
      <xdr:colOff>85725</xdr:colOff>
      <xdr:row>23</xdr:row>
      <xdr:rowOff>66674</xdr:rowOff>
    </xdr:from>
    <xdr:to>
      <xdr:col>10</xdr:col>
      <xdr:colOff>631031</xdr:colOff>
      <xdr:row>49</xdr:row>
      <xdr:rowOff>87923</xdr:rowOff>
    </xdr:to>
    <xdr:sp macro="" textlink="">
      <xdr:nvSpPr>
        <xdr:cNvPr id="2" name="Textfeld 1">
          <a:extLst>
            <a:ext uri="{FF2B5EF4-FFF2-40B4-BE49-F238E27FC236}">
              <a16:creationId xmlns:a16="http://schemas.microsoft.com/office/drawing/2014/main" id="{0C1D41E1-ACA9-4983-9DFB-47334F43FBE5}"/>
            </a:ext>
          </a:extLst>
        </xdr:cNvPr>
        <xdr:cNvSpPr txBox="1"/>
      </xdr:nvSpPr>
      <xdr:spPr>
        <a:xfrm>
          <a:off x="85725" y="5547212"/>
          <a:ext cx="9315633" cy="4974249"/>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Kommunikation &amp; Vernetzung</a:t>
          </a:r>
        </a:p>
        <a:p>
          <a:endParaRPr lang="de-DE" sz="1600" baseline="0"/>
        </a:p>
        <a:p>
          <a:pPr marL="171450" indent="-171450">
            <a:buFont typeface="Arial" panose="020B0604020202020204" pitchFamily="34" charset="0"/>
            <a:buChar char="•"/>
          </a:pPr>
          <a:r>
            <a:rPr lang="de-DE" sz="1100">
              <a:solidFill>
                <a:schemeClr val="dk1"/>
              </a:solidFill>
              <a:effectLst/>
              <a:latin typeface="+mn-lt"/>
              <a:ea typeface="+mn-ea"/>
              <a:cs typeface="+mn-cs"/>
            </a:rPr>
            <a:t>Besuch von Bildungsveranstaltungen externer Anbieter, z. B. Energievision 2050, Public Climate School, ... </a:t>
          </a:r>
        </a:p>
        <a:p>
          <a:pPr marL="171450" indent="-171450">
            <a:buFont typeface="Arial" panose="020B0604020202020204" pitchFamily="34" charset="0"/>
            <a:buChar char="•"/>
          </a:pPr>
          <a:r>
            <a:rPr lang="de-DE" sz="1100">
              <a:solidFill>
                <a:schemeClr val="dk1"/>
              </a:solidFill>
              <a:effectLst/>
              <a:latin typeface="+mn-lt"/>
              <a:ea typeface="+mn-ea"/>
              <a:cs typeface="+mn-cs"/>
            </a:rPr>
            <a:t>Besuch von lokalen Vernetzungstreffen in der Kommune/Landkreis</a:t>
          </a:r>
        </a:p>
        <a:p>
          <a:pPr marL="171450" indent="-171450">
            <a:buFont typeface="Arial" panose="020B0604020202020204" pitchFamily="34" charset="0"/>
            <a:buChar char="•"/>
          </a:pPr>
          <a:r>
            <a:rPr lang="de-DE" sz="1100">
              <a:solidFill>
                <a:schemeClr val="dk1"/>
              </a:solidFill>
              <a:effectLst/>
              <a:latin typeface="+mn-lt"/>
              <a:ea typeface="+mn-ea"/>
              <a:cs typeface="+mn-cs"/>
            </a:rPr>
            <a:t>Digitaler Adventskalender - Quizfragen</a:t>
          </a:r>
          <a:r>
            <a:rPr lang="de-DE" sz="1100" baseline="0">
              <a:solidFill>
                <a:schemeClr val="dk1"/>
              </a:solidFill>
              <a:effectLst/>
              <a:latin typeface="+mn-lt"/>
              <a:ea typeface="+mn-ea"/>
              <a:cs typeface="+mn-cs"/>
            </a:rPr>
            <a:t> zum Klimaschutz mit Gewinnspiel</a:t>
          </a:r>
          <a:endParaRPr lang="de-DE" sz="1100">
            <a:solidFill>
              <a:schemeClr val="dk1"/>
            </a:solidFill>
            <a:effectLst/>
            <a:latin typeface="+mn-lt"/>
            <a:ea typeface="+mn-ea"/>
            <a:cs typeface="+mn-cs"/>
          </a:endParaRPr>
        </a:p>
        <a:p>
          <a:pPr marL="171450" indent="-171450">
            <a:buFont typeface="Arial" panose="020B0604020202020204" pitchFamily="34" charset="0"/>
            <a:buChar char="•"/>
          </a:pPr>
          <a:r>
            <a:rPr lang="de-DE" sz="1100">
              <a:solidFill>
                <a:schemeClr val="dk1"/>
              </a:solidFill>
              <a:effectLst/>
              <a:latin typeface="+mn-lt"/>
              <a:ea typeface="+mn-ea"/>
              <a:cs typeface="+mn-cs"/>
            </a:rPr>
            <a:t>Durchführung einer "Energiewerkstatt" zur Entwicklung von Maßnahmen im Klimaschutzplan </a:t>
          </a:r>
        </a:p>
        <a:p>
          <a:pPr marL="171450" indent="-171450">
            <a:buFont typeface="Arial" panose="020B0604020202020204" pitchFamily="34" charset="0"/>
            <a:buChar char="•"/>
          </a:pPr>
          <a:r>
            <a:rPr lang="de-DE" sz="1100">
              <a:solidFill>
                <a:schemeClr val="dk1"/>
              </a:solidFill>
              <a:effectLst/>
              <a:latin typeface="+mn-lt"/>
              <a:ea typeface="+mn-ea"/>
              <a:cs typeface="+mn-cs"/>
            </a:rPr>
            <a:t>Earth</a:t>
          </a:r>
          <a:r>
            <a:rPr lang="de-DE" sz="1100" baseline="0">
              <a:solidFill>
                <a:schemeClr val="dk1"/>
              </a:solidFill>
              <a:effectLst/>
              <a:latin typeface="+mn-lt"/>
              <a:ea typeface="+mn-ea"/>
              <a:cs typeface="+mn-cs"/>
            </a:rPr>
            <a:t> Hour-Aktion durchführen </a:t>
          </a:r>
          <a:endParaRPr lang="de-DE" sz="1100">
            <a:solidFill>
              <a:schemeClr val="dk1"/>
            </a:solidFill>
            <a:effectLst/>
            <a:latin typeface="+mn-lt"/>
            <a:ea typeface="+mn-ea"/>
            <a:cs typeface="+mn-cs"/>
          </a:endParaRPr>
        </a:p>
        <a:p>
          <a:pPr marL="171450" indent="-171450">
            <a:buFont typeface="Arial" panose="020B0604020202020204" pitchFamily="34" charset="0"/>
            <a:buChar char="•"/>
          </a:pPr>
          <a:r>
            <a:rPr lang="de-DE" sz="1100">
              <a:solidFill>
                <a:schemeClr val="dk1"/>
              </a:solidFill>
              <a:effectLst/>
              <a:latin typeface="+mn-lt"/>
              <a:ea typeface="+mn-ea"/>
              <a:cs typeface="+mn-cs"/>
            </a:rPr>
            <a:t>Einrichtung von P- und W-Seminaren an Gymnasien</a:t>
          </a:r>
        </a:p>
        <a:p>
          <a:pPr marL="171450" indent="-171450">
            <a:buFont typeface="Arial" panose="020B0604020202020204" pitchFamily="34" charset="0"/>
            <a:buChar char="•"/>
          </a:pPr>
          <a:r>
            <a:rPr lang="de-DE" sz="1100">
              <a:solidFill>
                <a:schemeClr val="dk1"/>
              </a:solidFill>
              <a:effectLst/>
              <a:latin typeface="+mn-lt"/>
              <a:ea typeface="+mn-ea"/>
              <a:cs typeface="+mn-cs"/>
            </a:rPr>
            <a:t>Erasmusprojekte zum Themenbereich Klimaschutz Nachhaltigkeit</a:t>
          </a:r>
        </a:p>
        <a:p>
          <a:pPr marL="171450" indent="-171450">
            <a:buFont typeface="Arial" panose="020B0604020202020204" pitchFamily="34" charset="0"/>
            <a:buChar char="•"/>
          </a:pPr>
          <a:r>
            <a:rPr lang="de-DE" sz="1100">
              <a:solidFill>
                <a:schemeClr val="dk1"/>
              </a:solidFill>
              <a:effectLst/>
              <a:latin typeface="+mn-lt"/>
              <a:ea typeface="+mn-ea"/>
              <a:cs typeface="+mn-cs"/>
            </a:rPr>
            <a:t>Erstellung eines Klimacurriculums für alle Jahrgangsstufen</a:t>
          </a:r>
        </a:p>
        <a:p>
          <a:pPr marL="171450" indent="-171450">
            <a:buFont typeface="Arial" panose="020B0604020202020204" pitchFamily="34" charset="0"/>
            <a:buChar char="•"/>
          </a:pPr>
          <a:r>
            <a:rPr lang="de-DE" sz="1100">
              <a:solidFill>
                <a:schemeClr val="dk1"/>
              </a:solidFill>
              <a:effectLst/>
              <a:latin typeface="+mn-lt"/>
              <a:ea typeface="+mn-ea"/>
              <a:cs typeface="+mn-cs"/>
            </a:rPr>
            <a:t>Escape-Games zum Klimawandel</a:t>
          </a:r>
        </a:p>
        <a:p>
          <a:pPr marL="171450" indent="-171450">
            <a:buFont typeface="Arial" panose="020B0604020202020204" pitchFamily="34" charset="0"/>
            <a:buChar char="•"/>
          </a:pPr>
          <a:r>
            <a:rPr lang="de-DE" sz="1100">
              <a:solidFill>
                <a:schemeClr val="dk1"/>
              </a:solidFill>
              <a:effectLst/>
              <a:latin typeface="+mn-lt"/>
              <a:ea typeface="+mn-ea"/>
              <a:cs typeface="+mn-cs"/>
            </a:rPr>
            <a:t>Exkursionen mit Schülerinnen und Schülern (Naturerfahrung, Sensibilisierung, Wissensvermittlung,...)</a:t>
          </a:r>
        </a:p>
        <a:p>
          <a:pPr marL="171450" indent="-171450">
            <a:buFont typeface="Arial" panose="020B0604020202020204" pitchFamily="34" charset="0"/>
            <a:buChar char="•"/>
          </a:pPr>
          <a:r>
            <a:rPr lang="de-DE" sz="1100">
              <a:solidFill>
                <a:schemeClr val="dk1"/>
              </a:solidFill>
              <a:effectLst/>
              <a:latin typeface="+mn-lt"/>
              <a:ea typeface="+mn-ea"/>
              <a:cs typeface="+mn-cs"/>
            </a:rPr>
            <a:t>Fotoakation: Gesicht zeigen für den Klimaschutz</a:t>
          </a:r>
        </a:p>
        <a:p>
          <a:pPr marL="171450" indent="-171450">
            <a:buFont typeface="Arial" panose="020B0604020202020204" pitchFamily="34" charset="0"/>
            <a:buChar char="•"/>
          </a:pPr>
          <a:r>
            <a:rPr lang="de-DE" sz="1100">
              <a:solidFill>
                <a:schemeClr val="dk1"/>
              </a:solidFill>
              <a:effectLst/>
              <a:latin typeface="+mn-lt"/>
              <a:ea typeface="+mn-ea"/>
              <a:cs typeface="+mn-cs"/>
            </a:rPr>
            <a:t>Gestaltung von Stellwänden, Plakaten und Präsentationen: Darstellung des aktuellen Standes für die Schulfamilie</a:t>
          </a:r>
        </a:p>
        <a:p>
          <a:pPr marL="171450" indent="-171450">
            <a:buFont typeface="Arial" panose="020B0604020202020204" pitchFamily="34" charset="0"/>
            <a:buChar char="•"/>
          </a:pPr>
          <a:r>
            <a:rPr lang="de-DE" sz="1100">
              <a:solidFill>
                <a:schemeClr val="dk1"/>
              </a:solidFill>
              <a:effectLst/>
              <a:latin typeface="+mn-lt"/>
              <a:ea typeface="+mn-ea"/>
              <a:cs typeface="+mn-cs"/>
            </a:rPr>
            <a:t>Gründung eines gemeinnützigen</a:t>
          </a:r>
          <a:r>
            <a:rPr lang="de-DE" sz="1100" baseline="0">
              <a:solidFill>
                <a:schemeClr val="dk1"/>
              </a:solidFill>
              <a:effectLst/>
              <a:latin typeface="+mn-lt"/>
              <a:ea typeface="+mn-ea"/>
              <a:cs typeface="+mn-cs"/>
            </a:rPr>
            <a:t> Vereins zur Förderung der Klimaschutzarbeit und der Klimaschutzziele der Schule</a:t>
          </a:r>
          <a:endParaRPr lang="de-DE" sz="1100">
            <a:solidFill>
              <a:schemeClr val="dk1"/>
            </a:solidFill>
            <a:effectLst/>
            <a:latin typeface="+mn-lt"/>
            <a:ea typeface="+mn-ea"/>
            <a:cs typeface="+mn-cs"/>
          </a:endParaRPr>
        </a:p>
        <a:p>
          <a:pPr marL="171450" indent="-171450">
            <a:buFont typeface="Arial" panose="020B0604020202020204" pitchFamily="34" charset="0"/>
            <a:buChar char="•"/>
          </a:pPr>
          <a:r>
            <a:rPr lang="de-DE" sz="1100">
              <a:solidFill>
                <a:schemeClr val="dk1"/>
              </a:solidFill>
              <a:effectLst/>
              <a:latin typeface="+mn-lt"/>
              <a:ea typeface="+mn-ea"/>
              <a:cs typeface="+mn-cs"/>
            </a:rPr>
            <a:t>Informationen und Aktionen zum Thema “Fairtrade”</a:t>
          </a:r>
        </a:p>
        <a:p>
          <a:pPr marL="171450" indent="-171450">
            <a:buFont typeface="Arial" panose="020B0604020202020204" pitchFamily="34" charset="0"/>
            <a:buChar char="•"/>
          </a:pPr>
          <a:r>
            <a:rPr lang="de-DE" sz="1100">
              <a:solidFill>
                <a:schemeClr val="dk1"/>
              </a:solidFill>
              <a:effectLst/>
              <a:latin typeface="+mn-lt"/>
              <a:ea typeface="+mn-ea"/>
              <a:cs typeface="+mn-cs"/>
            </a:rPr>
            <a:t>Klimaabend mit Expertenvorträge </a:t>
          </a:r>
        </a:p>
        <a:p>
          <a:pPr marL="171450" indent="-171450">
            <a:buFont typeface="Arial" panose="020B0604020202020204" pitchFamily="34" charset="0"/>
            <a:buChar char="•"/>
          </a:pPr>
          <a:r>
            <a:rPr lang="de-DE" sz="1100">
              <a:solidFill>
                <a:schemeClr val="dk1"/>
              </a:solidFill>
              <a:effectLst/>
              <a:latin typeface="+mn-lt"/>
              <a:ea typeface="+mn-ea"/>
              <a:cs typeface="+mn-cs"/>
            </a:rPr>
            <a:t>Klimaabend mit Podiumsdiskussion</a:t>
          </a:r>
        </a:p>
        <a:p>
          <a:pPr marL="171450" indent="-171450">
            <a:buFont typeface="Arial" panose="020B0604020202020204" pitchFamily="34" charset="0"/>
            <a:buChar char="•"/>
          </a:pPr>
          <a:r>
            <a:rPr lang="de-DE" sz="1100">
              <a:solidFill>
                <a:schemeClr val="dk1"/>
              </a:solidFill>
              <a:effectLst/>
              <a:latin typeface="+mn-lt"/>
              <a:ea typeface="+mn-ea"/>
              <a:cs typeface="+mn-cs"/>
            </a:rPr>
            <a:t>Klimapause: freiwilliges Treffen alle 2 Wochen in der großen Pause für alle Interessierten, kurze Impulsvorträge von LK oder SuS</a:t>
          </a:r>
        </a:p>
        <a:p>
          <a:pPr marL="171450" indent="-171450">
            <a:buFont typeface="Arial" panose="020B0604020202020204" pitchFamily="34" charset="0"/>
            <a:buChar char="•"/>
          </a:pPr>
          <a:r>
            <a:rPr lang="de-DE" sz="1100">
              <a:solidFill>
                <a:schemeClr val="dk1"/>
              </a:solidFill>
              <a:effectLst/>
              <a:latin typeface="+mn-lt"/>
              <a:ea typeface="+mn-ea"/>
              <a:cs typeface="+mn-cs"/>
            </a:rPr>
            <a:t>"Klimatage" in</a:t>
          </a:r>
          <a:r>
            <a:rPr lang="de-DE" sz="1100" baseline="0">
              <a:solidFill>
                <a:schemeClr val="dk1"/>
              </a:solidFill>
              <a:effectLst/>
              <a:latin typeface="+mn-lt"/>
              <a:ea typeface="+mn-ea"/>
              <a:cs typeface="+mn-cs"/>
            </a:rPr>
            <a:t> der Schule (Projekttage)</a:t>
          </a:r>
        </a:p>
        <a:p>
          <a:pPr marL="171450" indent="-171450">
            <a:buFont typeface="Arial" panose="020B0604020202020204" pitchFamily="34" charset="0"/>
            <a:buChar char="•"/>
          </a:pPr>
          <a:r>
            <a:rPr lang="de-DE" sz="1100" baseline="0">
              <a:solidFill>
                <a:schemeClr val="dk1"/>
              </a:solidFill>
              <a:effectLst/>
              <a:latin typeface="+mn-lt"/>
              <a:ea typeface="+mn-ea"/>
              <a:cs typeface="+mn-cs"/>
            </a:rPr>
            <a:t>Netzwerkbildung: </a:t>
          </a:r>
          <a:r>
            <a:rPr lang="de-DE" sz="1100" b="0" i="0" u="none" strike="noStrike">
              <a:solidFill>
                <a:schemeClr val="dk1"/>
              </a:solidFill>
              <a:effectLst/>
              <a:latin typeface="+mn-lt"/>
              <a:ea typeface="+mn-ea"/>
              <a:cs typeface="+mn-cs"/>
            </a:rPr>
            <a:t>Kontakte zu Energieberater/-innen, Klimaschutzmanager/-in, Ämter, Verbände, Unternehmen, Initiativen, …  </a:t>
          </a:r>
          <a:r>
            <a:rPr lang="de-DE"/>
            <a:t> </a:t>
          </a:r>
        </a:p>
        <a:p>
          <a:pPr marL="171450" indent="-171450">
            <a:buFont typeface="Arial" panose="020B0604020202020204" pitchFamily="34" charset="0"/>
            <a:buChar char="•"/>
          </a:pPr>
          <a:r>
            <a:rPr lang="de-DE" sz="1100">
              <a:solidFill>
                <a:schemeClr val="dk1"/>
              </a:solidFill>
              <a:effectLst/>
              <a:latin typeface="+mn-lt"/>
              <a:ea typeface="+mn-ea"/>
              <a:cs typeface="+mn-cs"/>
            </a:rPr>
            <a:t>Peer-to-Peer-Teaching</a:t>
          </a:r>
          <a:r>
            <a:rPr lang="de-DE" sz="1100" baseline="0">
              <a:solidFill>
                <a:schemeClr val="dk1"/>
              </a:solidFill>
              <a:effectLst/>
              <a:latin typeface="+mn-lt"/>
              <a:ea typeface="+mn-ea"/>
              <a:cs typeface="+mn-cs"/>
            </a:rPr>
            <a:t> durch Klimabotschafter/-innen</a:t>
          </a:r>
        </a:p>
        <a:p>
          <a:pPr marL="171450" indent="-171450">
            <a:buFont typeface="Arial" panose="020B0604020202020204" pitchFamily="34" charset="0"/>
            <a:buChar char="•"/>
          </a:pPr>
          <a:r>
            <a:rPr lang="de-DE" sz="1100" baseline="0">
              <a:solidFill>
                <a:schemeClr val="dk1"/>
              </a:solidFill>
              <a:effectLst/>
              <a:latin typeface="+mn-lt"/>
              <a:ea typeface="+mn-ea"/>
              <a:cs typeface="+mn-cs"/>
            </a:rPr>
            <a:t>Spendenlauf </a:t>
          </a:r>
          <a:endParaRPr lang="de-DE" sz="1100">
            <a:solidFill>
              <a:schemeClr val="dk1"/>
            </a:solidFill>
            <a:effectLst/>
            <a:latin typeface="+mn-lt"/>
            <a:ea typeface="+mn-ea"/>
            <a:cs typeface="+mn-cs"/>
          </a:endParaRPr>
        </a:p>
        <a:p>
          <a:pPr marL="171450" indent="-171450">
            <a:buFont typeface="Arial" panose="020B0604020202020204" pitchFamily="34" charset="0"/>
            <a:buChar char="•"/>
          </a:pPr>
          <a:r>
            <a:rPr lang="de-DE" sz="1100">
              <a:solidFill>
                <a:schemeClr val="dk1"/>
              </a:solidFill>
              <a:effectLst/>
              <a:latin typeface="+mn-lt"/>
              <a:ea typeface="+mn-ea"/>
              <a:cs typeface="+mn-cs"/>
            </a:rPr>
            <a:t>Wahl von Klimabotschaftern: Verankerung des Themas Klimaschutz im Schulalltag, Motivation für SuS</a:t>
          </a:r>
        </a:p>
        <a:p>
          <a:pPr marL="171450" indent="-171450">
            <a:buFont typeface="Arial" panose="020B0604020202020204" pitchFamily="34" charset="0"/>
            <a:buChar char="•"/>
          </a:pPr>
          <a:r>
            <a:rPr lang="de-DE" sz="1100">
              <a:solidFill>
                <a:schemeClr val="dk1"/>
              </a:solidFill>
              <a:effectLst/>
              <a:latin typeface="+mn-lt"/>
              <a:ea typeface="+mn-ea"/>
              <a:cs typeface="+mn-cs"/>
            </a:rPr>
            <a:t>Walderlebnistag</a:t>
          </a:r>
        </a:p>
        <a:p>
          <a:pPr marL="171450" indent="-171450">
            <a:buFont typeface="Arial" panose="020B0604020202020204" pitchFamily="34" charset="0"/>
            <a:buChar char="•"/>
          </a:pPr>
          <a:r>
            <a:rPr lang="de-DE" sz="1100">
              <a:solidFill>
                <a:schemeClr val="dk1"/>
              </a:solidFill>
              <a:effectLst/>
              <a:latin typeface="+mn-lt"/>
              <a:ea typeface="+mn-ea"/>
              <a:cs typeface="+mn-cs"/>
            </a:rPr>
            <a:t>Wechselnde Plakatkampagnen im Schulhaus</a:t>
          </a:r>
        </a:p>
        <a:p>
          <a:pPr marL="171450" indent="-171450">
            <a:buFont typeface="Arial" panose="020B0604020202020204" pitchFamily="34" charset="0"/>
            <a:buChar char="•"/>
          </a:pPr>
          <a:r>
            <a:rPr lang="de-DE" sz="1100">
              <a:solidFill>
                <a:schemeClr val="dk1"/>
              </a:solidFill>
              <a:effectLst/>
              <a:latin typeface="+mn-lt"/>
              <a:ea typeface="+mn-ea"/>
              <a:cs typeface="+mn-cs"/>
            </a:rPr>
            <a:t>Workshops, z. B. zur Klimakommunikation, ...</a:t>
          </a:r>
        </a:p>
        <a:p>
          <a:endParaRPr lang="de-DE" sz="1600"/>
        </a:p>
      </xdr:txBody>
    </xdr:sp>
    <xdr:clientData/>
  </xdr:twoCellAnchor>
  <xdr:twoCellAnchor editAs="oneCell">
    <xdr:from>
      <xdr:col>13</xdr:col>
      <xdr:colOff>120464</xdr:colOff>
      <xdr:row>0</xdr:row>
      <xdr:rowOff>157582</xdr:rowOff>
    </xdr:from>
    <xdr:to>
      <xdr:col>14</xdr:col>
      <xdr:colOff>236047</xdr:colOff>
      <xdr:row>5</xdr:row>
      <xdr:rowOff>25313</xdr:rowOff>
    </xdr:to>
    <xdr:pic>
      <xdr:nvPicPr>
        <xdr:cNvPr id="5" name="Grafik 4">
          <a:extLst>
            <a:ext uri="{FF2B5EF4-FFF2-40B4-BE49-F238E27FC236}">
              <a16:creationId xmlns:a16="http://schemas.microsoft.com/office/drawing/2014/main" id="{B042DD1C-6362-47D1-84B8-B6CACD7B735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259111" y="157582"/>
          <a:ext cx="877582" cy="820231"/>
        </a:xfrm>
        <a:prstGeom prst="rect">
          <a:avLst/>
        </a:prstGeom>
      </xdr:spPr>
    </xdr:pic>
    <xdr:clientData/>
  </xdr:twoCellAnchor>
  <xdr:twoCellAnchor editAs="oneCell">
    <xdr:from>
      <xdr:col>13</xdr:col>
      <xdr:colOff>109538</xdr:colOff>
      <xdr:row>5</xdr:row>
      <xdr:rowOff>161924</xdr:rowOff>
    </xdr:from>
    <xdr:to>
      <xdr:col>14</xdr:col>
      <xdr:colOff>349053</xdr:colOff>
      <xdr:row>7</xdr:row>
      <xdr:rowOff>387612</xdr:rowOff>
    </xdr:to>
    <xdr:pic>
      <xdr:nvPicPr>
        <xdr:cNvPr id="6" name="Grafik 5">
          <a:extLst>
            <a:ext uri="{FF2B5EF4-FFF2-40B4-BE49-F238E27FC236}">
              <a16:creationId xmlns:a16="http://schemas.microsoft.com/office/drawing/2014/main" id="{1FE5DB08-26FB-46EB-B37D-FEBBF40FD3D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10325101" y="1233487"/>
          <a:ext cx="1001514" cy="987688"/>
        </a:xfrm>
        <a:prstGeom prst="rect">
          <a:avLst/>
        </a:prstGeom>
      </xdr:spPr>
    </xdr:pic>
    <xdr:clientData/>
  </xdr:twoCellAnchor>
  <xdr:twoCellAnchor>
    <xdr:from>
      <xdr:col>1</xdr:col>
      <xdr:colOff>1117724</xdr:colOff>
      <xdr:row>51</xdr:row>
      <xdr:rowOff>25063</xdr:rowOff>
    </xdr:from>
    <xdr:to>
      <xdr:col>10</xdr:col>
      <xdr:colOff>568920</xdr:colOff>
      <xdr:row>55</xdr:row>
      <xdr:rowOff>184963</xdr:rowOff>
    </xdr:to>
    <xdr:sp macro="" textlink="">
      <xdr:nvSpPr>
        <xdr:cNvPr id="7" name="Rechteck: abgerundete Ecken 6">
          <a:extLst>
            <a:ext uri="{FF2B5EF4-FFF2-40B4-BE49-F238E27FC236}">
              <a16:creationId xmlns:a16="http://schemas.microsoft.com/office/drawing/2014/main" id="{615C0795-3DD7-4A7C-9BEE-E2F7A34B6039}"/>
            </a:ext>
          </a:extLst>
        </xdr:cNvPr>
        <xdr:cNvSpPr/>
      </xdr:nvSpPr>
      <xdr:spPr>
        <a:xfrm>
          <a:off x="1498724" y="10788313"/>
          <a:ext cx="7809384" cy="921900"/>
        </a:xfrm>
        <a:prstGeom prst="roundRect">
          <a:avLst>
            <a:gd name="adj" fmla="val 9474"/>
          </a:avLst>
        </a:prstGeom>
        <a:solidFill>
          <a:srgbClr val="E76526"/>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xdr:from>
      <xdr:col>14</xdr:col>
      <xdr:colOff>624327</xdr:colOff>
      <xdr:row>5</xdr:row>
      <xdr:rowOff>291353</xdr:rowOff>
    </xdr:from>
    <xdr:to>
      <xdr:col>23</xdr:col>
      <xdr:colOff>534681</xdr:colOff>
      <xdr:row>7</xdr:row>
      <xdr:rowOff>390525</xdr:rowOff>
    </xdr:to>
    <xdr:sp macro="" textlink="">
      <xdr:nvSpPr>
        <xdr:cNvPr id="8" name="Rechteck: abgerundete Ecken 7">
          <a:extLst>
            <a:ext uri="{FF2B5EF4-FFF2-40B4-BE49-F238E27FC236}">
              <a16:creationId xmlns:a16="http://schemas.microsoft.com/office/drawing/2014/main" id="{4EC90690-D0D5-4A32-ABAA-EF6F024B48DF}"/>
            </a:ext>
          </a:extLst>
        </xdr:cNvPr>
        <xdr:cNvSpPr/>
      </xdr:nvSpPr>
      <xdr:spPr>
        <a:xfrm>
          <a:off x="11618898" y="1352710"/>
          <a:ext cx="6768354" cy="861172"/>
        </a:xfrm>
        <a:prstGeom prst="roundRect">
          <a:avLst>
            <a:gd name="adj" fmla="val 9474"/>
          </a:avLst>
        </a:prstGeom>
        <a:solidFill>
          <a:srgbClr val="E76526"/>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0" i="0">
              <a:solidFill>
                <a:schemeClr val="lt1"/>
              </a:solidFill>
              <a:effectLst/>
              <a:latin typeface="+mn-lt"/>
              <a:ea typeface="+mn-ea"/>
              <a:cs typeface="+mn-cs"/>
            </a:rPr>
            <a:t>Im Bereich Kommunikation und Vernetzung können noch keine Treibhausgaseinsparungen berechnet werden. Gleichwohl können die Maßnahmen in diesem Bereich sehr wertvoll sein und große indirekte CO</a:t>
          </a:r>
          <a:r>
            <a:rPr lang="de-DE" sz="1100" b="0" i="0" baseline="-25000">
              <a:solidFill>
                <a:schemeClr val="lt1"/>
              </a:solidFill>
              <a:effectLst/>
              <a:latin typeface="+mn-lt"/>
              <a:ea typeface="+mn-ea"/>
              <a:cs typeface="+mn-cs"/>
            </a:rPr>
            <a:t>2</a:t>
          </a:r>
          <a:r>
            <a:rPr lang="de-DE" sz="1100" b="0" i="0">
              <a:solidFill>
                <a:schemeClr val="lt1"/>
              </a:solidFill>
              <a:effectLst/>
              <a:latin typeface="+mn-lt"/>
              <a:ea typeface="+mn-ea"/>
              <a:cs typeface="+mn-cs"/>
            </a:rPr>
            <a:t>-Einsparungen zur Folge haben, z. B. indem durch Bildungsmaßnahmen eine Verhaltensänderung bei den Schülerinnen</a:t>
          </a:r>
          <a:r>
            <a:rPr lang="de-DE" sz="1100" b="0" i="0" baseline="0">
              <a:solidFill>
                <a:schemeClr val="lt1"/>
              </a:solidFill>
              <a:effectLst/>
              <a:latin typeface="+mn-lt"/>
              <a:ea typeface="+mn-ea"/>
              <a:cs typeface="+mn-cs"/>
            </a:rPr>
            <a:t> und Schüler sowie im familiären Umfeld </a:t>
          </a:r>
          <a:r>
            <a:rPr lang="de-DE" sz="1100" b="0" i="0">
              <a:solidFill>
                <a:schemeClr val="lt1"/>
              </a:solidFill>
              <a:effectLst/>
              <a:latin typeface="+mn-lt"/>
              <a:ea typeface="+mn-ea"/>
              <a:cs typeface="+mn-cs"/>
            </a:rPr>
            <a:t>stattfindet. </a:t>
          </a:r>
          <a:endParaRPr lang="de-DE" sz="1100" b="0"/>
        </a:p>
      </xdr:txBody>
    </xdr:sp>
    <xdr:clientData/>
  </xdr:twoCellAnchor>
  <xdr:twoCellAnchor editAs="oneCell">
    <xdr:from>
      <xdr:col>0</xdr:col>
      <xdr:colOff>133350</xdr:colOff>
      <xdr:row>50</xdr:row>
      <xdr:rowOff>134449</xdr:rowOff>
    </xdr:from>
    <xdr:to>
      <xdr:col>1</xdr:col>
      <xdr:colOff>719179</xdr:colOff>
      <xdr:row>55</xdr:row>
      <xdr:rowOff>169636</xdr:rowOff>
    </xdr:to>
    <xdr:pic>
      <xdr:nvPicPr>
        <xdr:cNvPr id="9" name="Grafik 8">
          <a:extLst>
            <a:ext uri="{FF2B5EF4-FFF2-40B4-BE49-F238E27FC236}">
              <a16:creationId xmlns:a16="http://schemas.microsoft.com/office/drawing/2014/main" id="{4720D28D-5050-44F9-AAE7-2A33387F471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133350" y="10758487"/>
          <a:ext cx="994187" cy="987688"/>
        </a:xfrm>
        <a:prstGeom prst="rect">
          <a:avLst/>
        </a:prstGeom>
      </xdr:spPr>
    </xdr:pic>
    <xdr:clientData/>
  </xdr:twoCellAnchor>
  <xdr:twoCellAnchor>
    <xdr:from>
      <xdr:col>14</xdr:col>
      <xdr:colOff>599935</xdr:colOff>
      <xdr:row>1</xdr:row>
      <xdr:rowOff>33337</xdr:rowOff>
    </xdr:from>
    <xdr:to>
      <xdr:col>24</xdr:col>
      <xdr:colOff>285171</xdr:colOff>
      <xdr:row>4</xdr:row>
      <xdr:rowOff>16528</xdr:rowOff>
    </xdr:to>
    <xdr:sp macro="" textlink="">
      <xdr:nvSpPr>
        <xdr:cNvPr id="11" name="Textfeld 10">
          <a:extLst>
            <a:ext uri="{FF2B5EF4-FFF2-40B4-BE49-F238E27FC236}">
              <a16:creationId xmlns:a16="http://schemas.microsoft.com/office/drawing/2014/main" id="{E0E394DF-9AAB-42CB-972F-486701C70359}"/>
            </a:ext>
          </a:extLst>
        </xdr:cNvPr>
        <xdr:cNvSpPr txBox="1"/>
      </xdr:nvSpPr>
      <xdr:spPr>
        <a:xfrm>
          <a:off x="12500582" y="223837"/>
          <a:ext cx="7305236"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Kommunikation &amp;</a:t>
          </a:r>
          <a:r>
            <a:rPr lang="de-DE" sz="1600" b="0" i="0" u="none" strike="noStrike" baseline="0">
              <a:solidFill>
                <a:schemeClr val="dk1"/>
              </a:solidFill>
              <a:effectLst/>
              <a:latin typeface="+mn-lt"/>
              <a:ea typeface="+mn-ea"/>
              <a:cs typeface="+mn-cs"/>
            </a:rPr>
            <a:t> Vernetzung</a:t>
          </a:r>
          <a:endParaRPr lang="de-DE" sz="16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111672</xdr:colOff>
      <xdr:row>0</xdr:row>
      <xdr:rowOff>91965</xdr:rowOff>
    </xdr:from>
    <xdr:to>
      <xdr:col>1</xdr:col>
      <xdr:colOff>433537</xdr:colOff>
      <xdr:row>3</xdr:row>
      <xdr:rowOff>154065</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1672" y="91965"/>
          <a:ext cx="637311" cy="633600"/>
        </a:xfrm>
        <a:prstGeom prst="rect">
          <a:avLst/>
        </a:prstGeom>
      </xdr:spPr>
    </xdr:pic>
    <xdr:clientData/>
  </xdr:twoCellAnchor>
  <xdr:twoCellAnchor>
    <xdr:from>
      <xdr:col>1</xdr:col>
      <xdr:colOff>510989</xdr:colOff>
      <xdr:row>1</xdr:row>
      <xdr:rowOff>62594</xdr:rowOff>
    </xdr:from>
    <xdr:to>
      <xdr:col>9</xdr:col>
      <xdr:colOff>194022</xdr:colOff>
      <xdr:row>3</xdr:row>
      <xdr:rowOff>4964</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882464" y="253094"/>
          <a:ext cx="663628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Strom</a:t>
          </a:r>
          <a:endParaRPr lang="de-DE" sz="1600" baseline="0"/>
        </a:p>
      </xdr:txBody>
    </xdr:sp>
    <xdr:clientData/>
  </xdr:twoCellAnchor>
  <xdr:twoCellAnchor>
    <xdr:from>
      <xdr:col>13</xdr:col>
      <xdr:colOff>1140598</xdr:colOff>
      <xdr:row>1</xdr:row>
      <xdr:rowOff>28914</xdr:rowOff>
    </xdr:from>
    <xdr:to>
      <xdr:col>16</xdr:col>
      <xdr:colOff>1824575</xdr:colOff>
      <xdr:row>4</xdr:row>
      <xdr:rowOff>12105</xdr:rowOff>
    </xdr:to>
    <xdr:sp macro="" textlink="">
      <xdr:nvSpPr>
        <xdr:cNvPr id="5" name="Textfeld 4">
          <a:extLst>
            <a:ext uri="{FF2B5EF4-FFF2-40B4-BE49-F238E27FC236}">
              <a16:creationId xmlns:a16="http://schemas.microsoft.com/office/drawing/2014/main" id="{3EE04152-53ED-4109-9808-94981C7CDD81}"/>
            </a:ext>
          </a:extLst>
        </xdr:cNvPr>
        <xdr:cNvSpPr txBox="1"/>
      </xdr:nvSpPr>
      <xdr:spPr>
        <a:xfrm>
          <a:off x="11379973" y="219414"/>
          <a:ext cx="8042040"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Strom</a:t>
          </a:r>
        </a:p>
      </xdr:txBody>
    </xdr:sp>
    <xdr:clientData/>
  </xdr:twoCellAnchor>
  <xdr:twoCellAnchor>
    <xdr:from>
      <xdr:col>0</xdr:col>
      <xdr:colOff>1</xdr:colOff>
      <xdr:row>17</xdr:row>
      <xdr:rowOff>133598</xdr:rowOff>
    </xdr:from>
    <xdr:to>
      <xdr:col>10</xdr:col>
      <xdr:colOff>885266</xdr:colOff>
      <xdr:row>41</xdr:row>
      <xdr:rowOff>100854</xdr:rowOff>
    </xdr:to>
    <xdr:sp macro="" textlink="">
      <xdr:nvSpPr>
        <xdr:cNvPr id="6" name="Textfeld 5">
          <a:extLst>
            <a:ext uri="{FF2B5EF4-FFF2-40B4-BE49-F238E27FC236}">
              <a16:creationId xmlns:a16="http://schemas.microsoft.com/office/drawing/2014/main" id="{39CABA73-CDDC-40DB-9498-86743792353B}"/>
            </a:ext>
          </a:extLst>
        </xdr:cNvPr>
        <xdr:cNvSpPr txBox="1"/>
      </xdr:nvSpPr>
      <xdr:spPr>
        <a:xfrm>
          <a:off x="1" y="5478804"/>
          <a:ext cx="10118912" cy="4539256"/>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Strom</a:t>
          </a:r>
        </a:p>
        <a:p>
          <a:endParaRPr lang="de-DE" sz="1600" baseline="0"/>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Automatische Abschaltung der PCs und Computer ab 17 Uhr</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Besuch</a:t>
          </a:r>
          <a:r>
            <a:rPr lang="de-DE" sz="1100" b="0" i="0" u="none" strike="noStrike" baseline="0">
              <a:solidFill>
                <a:schemeClr val="dk1"/>
              </a:solidFill>
              <a:effectLst/>
              <a:latin typeface="+mn-lt"/>
              <a:ea typeface="+mn-ea"/>
              <a:cs typeface="+mn-cs"/>
            </a:rPr>
            <a:t> von Kraftwerken in der Region (Windkraftanlage, Wasserkraft, Müllverbrennungsanlage, ...)</a:t>
          </a:r>
        </a:p>
        <a:p>
          <a:pPr marL="171450" indent="-171450" fontAlgn="ctr">
            <a:buFont typeface="Arial" panose="020B0604020202020204" pitchFamily="34" charset="0"/>
            <a:buChar char="•"/>
          </a:pPr>
          <a:r>
            <a:rPr lang="de-DE" sz="1100" b="0" i="0" u="none" strike="noStrike" baseline="0">
              <a:solidFill>
                <a:schemeClr val="dk1"/>
              </a:solidFill>
              <a:effectLst/>
              <a:latin typeface="+mn-lt"/>
              <a:ea typeface="+mn-ea"/>
              <a:cs typeface="+mn-cs"/>
            </a:rPr>
            <a:t>Beschriftung der Lichtschalter im Klassenzimmer</a:t>
          </a:r>
          <a:endParaRPr lang="de-DE" sz="1100" b="0" i="0" u="none" strike="noStrike">
            <a:solidFill>
              <a:schemeClr val="dk1"/>
            </a:solidFill>
            <a:effectLst/>
            <a:latin typeface="+mn-lt"/>
            <a:ea typeface="+mn-ea"/>
            <a:cs typeface="+mn-cs"/>
          </a:endParaRP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Bewegungsmelder im Schulgebäude</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Bildschirmanzeige zur Stromerzeugung der Photovoltaikanlage an einem zentralen Platz im oder am Schulgebäude</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Challenge: Klassenwettbewerb</a:t>
          </a:r>
          <a:r>
            <a:rPr lang="de-DE" sz="1100" b="0" i="0" u="none" strike="noStrike" baseline="0">
              <a:solidFill>
                <a:schemeClr val="dk1"/>
              </a:solidFill>
              <a:effectLst/>
              <a:latin typeface="+mn-lt"/>
              <a:ea typeface="+mn-ea"/>
              <a:cs typeface="+mn-cs"/>
            </a:rPr>
            <a:t> zum Energiesparen</a:t>
          </a:r>
          <a:endParaRPr lang="de-DE" sz="1100" b="0" i="0" u="none" strike="noStrike">
            <a:solidFill>
              <a:schemeClr val="dk1"/>
            </a:solidFill>
            <a:effectLst/>
            <a:latin typeface="+mn-lt"/>
            <a:ea typeface="+mn-ea"/>
            <a:cs typeface="+mn-cs"/>
          </a:endParaRP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E-Bike Ladestation auf dem Schulgelände installieren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Einführung von e-Dienstfahrzeugen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Energiebeauftragte benennen und ausbilden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Energiesparende Endgeräte verwenden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Für berufliche Schulen: Regelmäßige Kontrolle der Druckluftleitungen, um Leckagen auszuschließen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Geräte nicht "durchlaufen lassen"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Installation einer Photovoltaikanlage auf dem Schuldach</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Installation einer PV-Balkonanlage</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Licht aus beim Verlassen des Raums</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Schulinterne Fortbildung, z. B. zum Thema erneuerbare Energien </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Stromfreier Tag </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Umstellung auf LED-Beleuchtung</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Unnötige Stromverbraucher identifizieren</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Wechsel des Stromtarifs: Bezug von Ökostrom</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Workshop für Schüler und Eltern: Bau einer PV-Balkonanlage</a:t>
          </a:r>
        </a:p>
        <a:p>
          <a:pPr marL="171450" indent="-171450" fontAlgn="ctr">
            <a:buFont typeface="Arial" panose="020B0604020202020204" pitchFamily="34" charset="0"/>
            <a:buChar char="•"/>
          </a:pPr>
          <a:r>
            <a:rPr lang="de-DE" sz="1100" b="0" i="0" u="none" strike="noStrike">
              <a:solidFill>
                <a:schemeClr val="dk1"/>
              </a:solidFill>
              <a:effectLst/>
              <a:latin typeface="+mn-lt"/>
              <a:ea typeface="+mn-ea"/>
              <a:cs typeface="+mn-cs"/>
            </a:rPr>
            <a:t>Workshop zum Energiesparen, z. B. mit den Klimabotschafter:innen durch eine(n) externe(n) Energieberater/-in</a:t>
          </a:r>
        </a:p>
        <a:p>
          <a:pPr marL="171450" indent="-171450" fontAlgn="ctr">
            <a:buFont typeface="Arial" panose="020B0604020202020204" pitchFamily="34" charset="0"/>
            <a:buChar char="•"/>
          </a:pPr>
          <a:r>
            <a:rPr lang="de-DE" sz="1100" b="0" i="0" u="none" strike="noStrike" baseline="0">
              <a:solidFill>
                <a:schemeClr val="dk1"/>
              </a:solidFill>
              <a:effectLst/>
              <a:latin typeface="+mn-lt"/>
              <a:ea typeface="+mn-ea"/>
              <a:cs typeface="+mn-cs"/>
            </a:rPr>
            <a:t>...</a:t>
          </a:r>
          <a:r>
            <a:rPr lang="de-DE" sz="1100" baseline="0"/>
            <a:t> </a:t>
          </a:r>
        </a:p>
        <a:p>
          <a:endParaRPr lang="de-DE" sz="1600"/>
        </a:p>
      </xdr:txBody>
    </xdr:sp>
    <xdr:clientData/>
  </xdr:twoCellAnchor>
  <xdr:twoCellAnchor>
    <xdr:from>
      <xdr:col>1</xdr:col>
      <xdr:colOff>1051348</xdr:colOff>
      <xdr:row>43</xdr:row>
      <xdr:rowOff>133578</xdr:rowOff>
    </xdr:from>
    <xdr:to>
      <xdr:col>10</xdr:col>
      <xdr:colOff>862853</xdr:colOff>
      <xdr:row>48</xdr:row>
      <xdr:rowOff>102978</xdr:rowOff>
    </xdr:to>
    <xdr:sp macro="" textlink="">
      <xdr:nvSpPr>
        <xdr:cNvPr id="7" name="Rechteck: abgerundete Ecken 6">
          <a:extLst>
            <a:ext uri="{FF2B5EF4-FFF2-40B4-BE49-F238E27FC236}">
              <a16:creationId xmlns:a16="http://schemas.microsoft.com/office/drawing/2014/main" id="{A8DBED88-D0D0-4DDF-97C5-F63FC0C7ADCD}"/>
            </a:ext>
          </a:extLst>
        </xdr:cNvPr>
        <xdr:cNvSpPr/>
      </xdr:nvSpPr>
      <xdr:spPr>
        <a:xfrm>
          <a:off x="1365113" y="10431784"/>
          <a:ext cx="8731387" cy="921900"/>
        </a:xfrm>
        <a:prstGeom prst="roundRect">
          <a:avLst>
            <a:gd name="adj" fmla="val 9474"/>
          </a:avLst>
        </a:prstGeom>
        <a:solidFill>
          <a:srgbClr val="F7BE24"/>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0</xdr:col>
      <xdr:colOff>152552</xdr:colOff>
      <xdr:row>43</xdr:row>
      <xdr:rowOff>13753</xdr:rowOff>
    </xdr:from>
    <xdr:to>
      <xdr:col>1</xdr:col>
      <xdr:colOff>825013</xdr:colOff>
      <xdr:row>48</xdr:row>
      <xdr:rowOff>48941</xdr:rowOff>
    </xdr:to>
    <xdr:pic>
      <xdr:nvPicPr>
        <xdr:cNvPr id="8" name="Grafik 7">
          <a:extLst>
            <a:ext uri="{FF2B5EF4-FFF2-40B4-BE49-F238E27FC236}">
              <a16:creationId xmlns:a16="http://schemas.microsoft.com/office/drawing/2014/main" id="{90BA9802-6541-417F-8C2B-F7A6B9A39D9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20918923">
          <a:off x="152552" y="10311959"/>
          <a:ext cx="986226" cy="987688"/>
        </a:xfrm>
        <a:prstGeom prst="rect">
          <a:avLst/>
        </a:prstGeom>
      </xdr:spPr>
    </xdr:pic>
    <xdr:clientData/>
  </xdr:twoCellAnchor>
  <xdr:twoCellAnchor editAs="oneCell">
    <xdr:from>
      <xdr:col>13</xdr:col>
      <xdr:colOff>13137</xdr:colOff>
      <xdr:row>0</xdr:row>
      <xdr:rowOff>112904</xdr:rowOff>
    </xdr:from>
    <xdr:to>
      <xdr:col>13</xdr:col>
      <xdr:colOff>890719</xdr:colOff>
      <xdr:row>4</xdr:row>
      <xdr:rowOff>164131</xdr:rowOff>
    </xdr:to>
    <xdr:pic>
      <xdr:nvPicPr>
        <xdr:cNvPr id="10" name="Grafik 9">
          <a:extLst>
            <a:ext uri="{FF2B5EF4-FFF2-40B4-BE49-F238E27FC236}">
              <a16:creationId xmlns:a16="http://schemas.microsoft.com/office/drawing/2014/main" id="{830B852B-4EC0-427C-9340-CAA93056A96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252512" y="112904"/>
          <a:ext cx="877582" cy="8132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111672</xdr:colOff>
      <xdr:row>0</xdr:row>
      <xdr:rowOff>91965</xdr:rowOff>
    </xdr:from>
    <xdr:to>
      <xdr:col>1</xdr:col>
      <xdr:colOff>396884</xdr:colOff>
      <xdr:row>3</xdr:row>
      <xdr:rowOff>154065</xdr:rowOff>
    </xdr:to>
    <xdr:pic>
      <xdr:nvPicPr>
        <xdr:cNvPr id="4" name="Grafik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1672" y="91965"/>
          <a:ext cx="637311" cy="633600"/>
        </a:xfrm>
        <a:prstGeom prst="rect">
          <a:avLst/>
        </a:prstGeom>
      </xdr:spPr>
    </xdr:pic>
    <xdr:clientData/>
  </xdr:twoCellAnchor>
  <xdr:twoCellAnchor>
    <xdr:from>
      <xdr:col>1</xdr:col>
      <xdr:colOff>472889</xdr:colOff>
      <xdr:row>1</xdr:row>
      <xdr:rowOff>62594</xdr:rowOff>
    </xdr:from>
    <xdr:to>
      <xdr:col>8</xdr:col>
      <xdr:colOff>155922</xdr:colOff>
      <xdr:row>3</xdr:row>
      <xdr:rowOff>4964</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844364" y="253094"/>
          <a:ext cx="663628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Wärme</a:t>
          </a:r>
          <a:endParaRPr lang="de-DE" sz="1600" baseline="0"/>
        </a:p>
      </xdr:txBody>
    </xdr:sp>
    <xdr:clientData/>
  </xdr:twoCellAnchor>
  <xdr:twoCellAnchor editAs="oneCell">
    <xdr:from>
      <xdr:col>13</xdr:col>
      <xdr:colOff>56028</xdr:colOff>
      <xdr:row>0</xdr:row>
      <xdr:rowOff>79841</xdr:rowOff>
    </xdr:from>
    <xdr:to>
      <xdr:col>13</xdr:col>
      <xdr:colOff>933610</xdr:colOff>
      <xdr:row>4</xdr:row>
      <xdr:rowOff>131068</xdr:rowOff>
    </xdr:to>
    <xdr:pic>
      <xdr:nvPicPr>
        <xdr:cNvPr id="2" name="Grafik 1">
          <a:extLst>
            <a:ext uri="{FF2B5EF4-FFF2-40B4-BE49-F238E27FC236}">
              <a16:creationId xmlns:a16="http://schemas.microsoft.com/office/drawing/2014/main" id="{DA40B14F-3C7B-4C85-9D3C-91099CF82D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575675" y="79841"/>
          <a:ext cx="877582" cy="813227"/>
        </a:xfrm>
        <a:prstGeom prst="rect">
          <a:avLst/>
        </a:prstGeom>
      </xdr:spPr>
    </xdr:pic>
    <xdr:clientData/>
  </xdr:twoCellAnchor>
  <xdr:twoCellAnchor>
    <xdr:from>
      <xdr:col>13</xdr:col>
      <xdr:colOff>1090972</xdr:colOff>
      <xdr:row>0</xdr:row>
      <xdr:rowOff>164887</xdr:rowOff>
    </xdr:from>
    <xdr:to>
      <xdr:col>15</xdr:col>
      <xdr:colOff>1837765</xdr:colOff>
      <xdr:row>3</xdr:row>
      <xdr:rowOff>148078</xdr:rowOff>
    </xdr:to>
    <xdr:sp macro="" textlink="">
      <xdr:nvSpPr>
        <xdr:cNvPr id="5" name="Textfeld 4">
          <a:extLst>
            <a:ext uri="{FF2B5EF4-FFF2-40B4-BE49-F238E27FC236}">
              <a16:creationId xmlns:a16="http://schemas.microsoft.com/office/drawing/2014/main" id="{DB5B09FB-FAE2-4DEE-AD80-A34C3BB379E1}"/>
            </a:ext>
          </a:extLst>
        </xdr:cNvPr>
        <xdr:cNvSpPr txBox="1"/>
      </xdr:nvSpPr>
      <xdr:spPr>
        <a:xfrm>
          <a:off x="12610619" y="164887"/>
          <a:ext cx="3133646"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Wärme</a:t>
          </a:r>
        </a:p>
      </xdr:txBody>
    </xdr:sp>
    <xdr:clientData/>
  </xdr:twoCellAnchor>
  <xdr:twoCellAnchor>
    <xdr:from>
      <xdr:col>0</xdr:col>
      <xdr:colOff>-1361</xdr:colOff>
      <xdr:row>38</xdr:row>
      <xdr:rowOff>121104</xdr:rowOff>
    </xdr:from>
    <xdr:to>
      <xdr:col>10</xdr:col>
      <xdr:colOff>760639</xdr:colOff>
      <xdr:row>61</xdr:row>
      <xdr:rowOff>99332</xdr:rowOff>
    </xdr:to>
    <xdr:sp macro="" textlink="">
      <xdr:nvSpPr>
        <xdr:cNvPr id="8" name="Textfeld 5">
          <a:extLst>
            <a:ext uri="{FF2B5EF4-FFF2-40B4-BE49-F238E27FC236}">
              <a16:creationId xmlns:a16="http://schemas.microsoft.com/office/drawing/2014/main" id="{C7124719-5950-4BA6-8386-0743F361CE20}"/>
            </a:ext>
            <a:ext uri="{147F2762-F138-4A5C-976F-8EAC2B608ADB}">
              <a16:predDERef xmlns:a16="http://schemas.microsoft.com/office/drawing/2014/main" pred="{DB5B09FB-FAE2-4DEE-AD80-A34C3BB379E1}"/>
            </a:ext>
          </a:extLst>
        </xdr:cNvPr>
        <xdr:cNvSpPr txBox="1"/>
      </xdr:nvSpPr>
      <xdr:spPr>
        <a:xfrm>
          <a:off x="-1361" y="12570279"/>
          <a:ext cx="10001250" cy="4140653"/>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Wärme</a:t>
          </a:r>
        </a:p>
        <a:p>
          <a:endParaRPr lang="de-DE" sz="1100" b="0" i="0" u="none" strike="noStrike">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chemeClr val="dk1"/>
              </a:solidFill>
              <a:effectLst/>
              <a:latin typeface="+mn-lt"/>
              <a:ea typeface="+mn-ea"/>
              <a:cs typeface="+mn-cs"/>
            </a:rPr>
            <a:t>Ausbildung von Energie-Coaches</a:t>
          </a:r>
        </a:p>
        <a:p>
          <a:pPr marL="171450" lvl="0" indent="-171450">
            <a:buFont typeface="Arial" panose="020B0604020202020204" pitchFamily="34" charset="0"/>
            <a:buChar char="•"/>
          </a:pPr>
          <a:r>
            <a:rPr lang="de-DE" sz="1100">
              <a:solidFill>
                <a:schemeClr val="dk1"/>
              </a:solidFill>
              <a:effectLst/>
              <a:latin typeface="+mn-lt"/>
              <a:ea typeface="+mn-ea"/>
              <a:cs typeface="+mn-cs"/>
            </a:rPr>
            <a:t>Besuch eines</a:t>
          </a:r>
          <a:r>
            <a:rPr lang="de-DE" sz="1100" baseline="0">
              <a:solidFill>
                <a:schemeClr val="dk1"/>
              </a:solidFill>
              <a:effectLst/>
              <a:latin typeface="+mn-lt"/>
              <a:ea typeface="+mn-ea"/>
              <a:cs typeface="+mn-cs"/>
            </a:rPr>
            <a:t> Heizkraftwerks mit Schülerinnen und Schülern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chemeClr val="dk1"/>
              </a:solidFill>
              <a:effectLst/>
              <a:latin typeface="+mn-lt"/>
              <a:ea typeface="+mn-ea"/>
              <a:cs typeface="+mn-cs"/>
            </a:rPr>
            <a:t>Beauftragte für Lüften &amp; Energiesparen ernennen</a:t>
          </a:r>
        </a:p>
        <a:p>
          <a:pPr marL="171450" lvl="0" indent="-171450">
            <a:buFont typeface="Arial" panose="020B0604020202020204" pitchFamily="34" charset="0"/>
            <a:buChar char="•"/>
          </a:pPr>
          <a:r>
            <a:rPr lang="de-DE" sz="1100">
              <a:solidFill>
                <a:schemeClr val="dk1"/>
              </a:solidFill>
              <a:effectLst/>
              <a:latin typeface="+mn-lt"/>
              <a:ea typeface="+mn-ea"/>
              <a:cs typeface="+mn-cs"/>
            </a:rPr>
            <a:t>Besichtigung der Heizungsanlage der Schule - Infos zum korrekten Heizen und Energiesparen</a:t>
          </a:r>
        </a:p>
        <a:p>
          <a:pPr marL="171450" lvl="0" indent="-171450">
            <a:buFont typeface="Arial" panose="020B0604020202020204" pitchFamily="34" charset="0"/>
            <a:buChar char="•"/>
          </a:pPr>
          <a:r>
            <a:rPr lang="de-DE" sz="1100">
              <a:solidFill>
                <a:schemeClr val="dk1"/>
              </a:solidFill>
              <a:effectLst/>
              <a:latin typeface="+mn-lt"/>
              <a:ea typeface="+mn-ea"/>
              <a:cs typeface="+mn-cs"/>
            </a:rPr>
            <a:t>CO</a:t>
          </a:r>
          <a:r>
            <a:rPr lang="de-DE" sz="1100" baseline="-25000">
              <a:solidFill>
                <a:schemeClr val="dk1"/>
              </a:solidFill>
              <a:effectLst/>
              <a:latin typeface="+mn-lt"/>
              <a:ea typeface="+mn-ea"/>
              <a:cs typeface="+mn-cs"/>
            </a:rPr>
            <a:t>2</a:t>
          </a:r>
          <a:r>
            <a:rPr lang="de-DE" sz="1100" baseline="0">
              <a:solidFill>
                <a:schemeClr val="dk1"/>
              </a:solidFill>
              <a:effectLst/>
              <a:latin typeface="+mn-lt"/>
              <a:ea typeface="+mn-ea"/>
              <a:cs typeface="+mn-cs"/>
            </a:rPr>
            <a:t>-</a:t>
          </a:r>
          <a:r>
            <a:rPr lang="de-DE" sz="1100">
              <a:solidFill>
                <a:schemeClr val="dk1"/>
              </a:solidFill>
              <a:effectLst/>
              <a:latin typeface="+mn-lt"/>
              <a:ea typeface="+mn-ea"/>
              <a:cs typeface="+mn-cs"/>
            </a:rPr>
            <a:t>Ampeln im Klassenzimmer, um zielgenaues Stoßlüften zu fördern</a:t>
          </a:r>
        </a:p>
        <a:p>
          <a:pPr marL="171450" lvl="0" indent="-171450">
            <a:buFont typeface="Arial" panose="020B0604020202020204" pitchFamily="34" charset="0"/>
            <a:buChar char="•"/>
          </a:pPr>
          <a:r>
            <a:rPr lang="de-DE" sz="1100">
              <a:solidFill>
                <a:schemeClr val="dk1"/>
              </a:solidFill>
              <a:effectLst/>
              <a:latin typeface="+mn-lt"/>
              <a:ea typeface="+mn-ea"/>
              <a:cs typeface="+mn-cs"/>
            </a:rPr>
            <a:t>Erneuerung des Energieausweises,</a:t>
          </a:r>
          <a:r>
            <a:rPr lang="de-DE" sz="1100" baseline="0">
              <a:solidFill>
                <a:schemeClr val="dk1"/>
              </a:solidFill>
              <a:effectLst/>
              <a:latin typeface="+mn-lt"/>
              <a:ea typeface="+mn-ea"/>
              <a:cs typeface="+mn-cs"/>
            </a:rPr>
            <a:t> um auf mögliche Schwachstellen hinweisen zu können</a:t>
          </a:r>
        </a:p>
        <a:p>
          <a:pPr marL="171450" lvl="0" indent="-171450">
            <a:buFont typeface="Arial" panose="020B0604020202020204" pitchFamily="34" charset="0"/>
            <a:buChar char="•"/>
          </a:pPr>
          <a:r>
            <a:rPr lang="de-DE" sz="1100" baseline="0">
              <a:solidFill>
                <a:schemeClr val="dk1"/>
              </a:solidFill>
              <a:effectLst/>
              <a:latin typeface="+mn-lt"/>
              <a:ea typeface="+mn-ea"/>
              <a:cs typeface="+mn-cs"/>
            </a:rPr>
            <a:t>Gebäudecheck durch eine externe Energieberatung durchführen lassen</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chemeClr val="dk1"/>
              </a:solidFill>
              <a:effectLst/>
              <a:latin typeface="+mn-lt"/>
              <a:ea typeface="+mn-ea"/>
              <a:cs typeface="+mn-cs"/>
            </a:rPr>
            <a:t>Heizungssteuerung: Beheizung der Räume individuell steuerbar, je nach Intensität der Nutzung </a:t>
          </a:r>
        </a:p>
        <a:p>
          <a:pPr marL="171450" lvl="0" indent="-171450">
            <a:buFont typeface="Arial" panose="020B0604020202020204" pitchFamily="34" charset="0"/>
            <a:buChar char="•"/>
          </a:pPr>
          <a:r>
            <a:rPr lang="de-DE" sz="1100">
              <a:solidFill>
                <a:schemeClr val="dk1"/>
              </a:solidFill>
              <a:effectLst/>
              <a:latin typeface="+mn-lt"/>
              <a:ea typeface="+mn-ea"/>
              <a:cs typeface="+mn-cs"/>
            </a:rPr>
            <a:t>Heizungstausch in Kooperation mit dem Sachaufwandsträger</a:t>
          </a:r>
        </a:p>
        <a:p>
          <a:pPr marL="171450" lvl="0" indent="-171450">
            <a:buFont typeface="Arial" panose="020B0604020202020204" pitchFamily="34" charset="0"/>
            <a:buChar char="•"/>
          </a:pPr>
          <a:r>
            <a:rPr lang="de-DE" sz="1100">
              <a:solidFill>
                <a:schemeClr val="dk1"/>
              </a:solidFill>
              <a:effectLst/>
              <a:latin typeface="+mn-lt"/>
              <a:ea typeface="+mn-ea"/>
              <a:cs typeface="+mn-cs"/>
            </a:rPr>
            <a:t>Lüftungskonzept: Einbau einer Lüftungsanlage in allen Unterrichtsräumen mit Wärmerückgewinnung </a:t>
          </a:r>
        </a:p>
        <a:p>
          <a:pPr marL="171450" lvl="0" indent="-171450">
            <a:buFont typeface="Arial" panose="020B0604020202020204" pitchFamily="34" charset="0"/>
            <a:buChar char="•"/>
          </a:pPr>
          <a:r>
            <a:rPr lang="de-DE" sz="1100">
              <a:solidFill>
                <a:schemeClr val="dk1"/>
              </a:solidFill>
              <a:effectLst/>
              <a:latin typeface="+mn-lt"/>
              <a:ea typeface="+mn-ea"/>
              <a:cs typeface="+mn-cs"/>
            </a:rPr>
            <a:t>Optimale Heizungsregulierung: Thermometer in Klassenzimmer zur Rückmeldung - mit Datenfixierung </a:t>
          </a:r>
        </a:p>
        <a:p>
          <a:pPr marL="171450" lvl="0" indent="-171450">
            <a:buFont typeface="Arial" panose="020B0604020202020204" pitchFamily="34" charset="0"/>
            <a:buChar char="•"/>
          </a:pPr>
          <a:r>
            <a:rPr lang="de-DE" sz="1100">
              <a:solidFill>
                <a:schemeClr val="dk1"/>
              </a:solidFill>
              <a:effectLst/>
              <a:latin typeface="+mn-lt"/>
              <a:ea typeface="+mn-ea"/>
              <a:cs typeface="+mn-cs"/>
            </a:rPr>
            <a:t>Pulli-Freitag: Früherer Wochenendbetrieb der Heizungsanlage </a:t>
          </a:r>
        </a:p>
        <a:p>
          <a:pPr marL="171450" lvl="0" indent="-171450">
            <a:buFont typeface="Arial" panose="020B0604020202020204" pitchFamily="34" charset="0"/>
            <a:buChar char="•"/>
          </a:pPr>
          <a:r>
            <a:rPr lang="de-DE" sz="1100">
              <a:solidFill>
                <a:schemeClr val="dk1"/>
              </a:solidFill>
              <a:effectLst/>
              <a:latin typeface="+mn-lt"/>
              <a:ea typeface="+mn-ea"/>
              <a:cs typeface="+mn-cs"/>
            </a:rPr>
            <a:t>Reduzierung der Gangtemperatur </a:t>
          </a:r>
        </a:p>
        <a:p>
          <a:pPr marL="171450" lvl="0" indent="-171450">
            <a:buFont typeface="Arial" panose="020B0604020202020204" pitchFamily="34" charset="0"/>
            <a:buChar char="•"/>
          </a:pPr>
          <a:r>
            <a:rPr lang="de-DE" sz="1100">
              <a:solidFill>
                <a:schemeClr val="dk1"/>
              </a:solidFill>
              <a:effectLst/>
              <a:latin typeface="+mn-lt"/>
              <a:ea typeface="+mn-ea"/>
              <a:cs typeface="+mn-cs"/>
            </a:rPr>
            <a:t>Reduzierung der Raumtemperatur  </a:t>
          </a:r>
        </a:p>
        <a:p>
          <a:pPr marL="171450" lvl="0" indent="-171450">
            <a:buFont typeface="Arial" panose="020B0604020202020204" pitchFamily="34" charset="0"/>
            <a:buChar char="•"/>
          </a:pPr>
          <a:r>
            <a:rPr lang="de-DE" sz="1100">
              <a:solidFill>
                <a:schemeClr val="dk1"/>
              </a:solidFill>
              <a:effectLst/>
              <a:latin typeface="+mn-lt"/>
              <a:ea typeface="+mn-ea"/>
              <a:cs typeface="+mn-cs"/>
            </a:rPr>
            <a:t>Stoßlüften statt Kipplüften</a:t>
          </a:r>
        </a:p>
        <a:p>
          <a:pPr marL="171450" lvl="0" indent="-171450">
            <a:buFont typeface="Arial" panose="020B0604020202020204" pitchFamily="34" charset="0"/>
            <a:buChar char="•"/>
          </a:pPr>
          <a:r>
            <a:rPr lang="de-DE" sz="1100">
              <a:solidFill>
                <a:schemeClr val="dk1"/>
              </a:solidFill>
              <a:effectLst/>
              <a:latin typeface="+mn-lt"/>
              <a:ea typeface="+mn-ea"/>
              <a:cs typeface="+mn-cs"/>
            </a:rPr>
            <a:t>Teilnahme</a:t>
          </a:r>
          <a:r>
            <a:rPr lang="de-DE" sz="1100" baseline="0">
              <a:solidFill>
                <a:schemeClr val="dk1"/>
              </a:solidFill>
              <a:effectLst/>
              <a:latin typeface="+mn-lt"/>
              <a:ea typeface="+mn-ea"/>
              <a:cs typeface="+mn-cs"/>
            </a:rPr>
            <a:t> am Fifty-Fifty-Programm (Energiesparprogramm für Schulen, siehe www.fifty-fifty.eu/)</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chemeClr val="dk1"/>
              </a:solidFill>
              <a:effectLst/>
              <a:latin typeface="+mn-lt"/>
              <a:ea typeface="+mn-ea"/>
              <a:cs typeface="+mn-cs"/>
            </a:rPr>
            <a:t>Untersuchung des Gebäudes mit eine Wärmbildkamera, z. B. im Physikunterricht </a:t>
          </a:r>
        </a:p>
        <a:p>
          <a:pPr marL="171450" lvl="0" indent="-171450">
            <a:buFont typeface="Arial" panose="020B0604020202020204" pitchFamily="34" charset="0"/>
            <a:buChar char="•"/>
          </a:pPr>
          <a:r>
            <a:rPr lang="de-DE" sz="1100">
              <a:solidFill>
                <a:schemeClr val="dk1"/>
              </a:solidFill>
              <a:effectLst/>
              <a:latin typeface="+mn-lt"/>
              <a:ea typeface="+mn-ea"/>
              <a:cs typeface="+mn-cs"/>
            </a:rPr>
            <a:t>Vollwärmeschutz: Isolierung der Außenfassade des Schulgebäudes </a:t>
          </a:r>
        </a:p>
        <a:p>
          <a:pPr marL="171450" lvl="0" indent="-171450">
            <a:buFont typeface="Arial" panose="020B0604020202020204" pitchFamily="34" charset="0"/>
            <a:buChar char="•"/>
          </a:pPr>
          <a:r>
            <a:rPr lang="de-DE" sz="1100">
              <a:solidFill>
                <a:schemeClr val="dk1"/>
              </a:solidFill>
              <a:effectLst/>
              <a:latin typeface="+mn-lt"/>
              <a:ea typeface="+mn-ea"/>
              <a:cs typeface="+mn-cs"/>
            </a:rPr>
            <a:t>Weiterleitung der Information von zu kalten und zu warmen Klassenzimmern an den Hausmeister </a:t>
          </a:r>
        </a:p>
        <a:p>
          <a:pPr marL="171450" lvl="0" indent="-171450">
            <a:buFont typeface="Arial" panose="020B0604020202020204" pitchFamily="34" charset="0"/>
            <a:buChar char="•"/>
          </a:pPr>
          <a:r>
            <a:rPr lang="de-DE" sz="1100">
              <a:solidFill>
                <a:schemeClr val="dk1"/>
              </a:solidFill>
              <a:effectLst/>
              <a:latin typeface="+mn-lt"/>
              <a:ea typeface="+mn-ea"/>
              <a:cs typeface="+mn-cs"/>
            </a:rPr>
            <a:t>Workshop zur korrekten Heizungseinstellung in Privathaushalten</a:t>
          </a:r>
        </a:p>
        <a:p>
          <a:pPr marL="171450" lvl="0" indent="-171450">
            <a:buFont typeface="Arial" panose="020B0604020202020204" pitchFamily="34" charset="0"/>
            <a:buChar char="•"/>
          </a:pPr>
          <a:r>
            <a:rPr lang="de-DE" sz="1400">
              <a:solidFill>
                <a:schemeClr val="dk1"/>
              </a:solidFill>
              <a:effectLst/>
              <a:latin typeface="+mn-lt"/>
              <a:ea typeface="+mn-ea"/>
              <a:cs typeface="+mn-cs"/>
            </a:rPr>
            <a:t>...</a:t>
          </a:r>
        </a:p>
        <a:p>
          <a:endParaRPr lang="de-DE" sz="1100" b="0" i="0" u="none" strike="noStrike">
            <a:solidFill>
              <a:schemeClr val="dk1"/>
            </a:solidFill>
            <a:effectLst/>
            <a:latin typeface="+mn-lt"/>
            <a:ea typeface="+mn-ea"/>
            <a:cs typeface="+mn-cs"/>
          </a:endParaRPr>
        </a:p>
      </xdr:txBody>
    </xdr:sp>
    <xdr:clientData/>
  </xdr:twoCellAnchor>
  <xdr:twoCellAnchor>
    <xdr:from>
      <xdr:col>1</xdr:col>
      <xdr:colOff>1150010</xdr:colOff>
      <xdr:row>26</xdr:row>
      <xdr:rowOff>32674</xdr:rowOff>
    </xdr:from>
    <xdr:to>
      <xdr:col>11</xdr:col>
      <xdr:colOff>0</xdr:colOff>
      <xdr:row>28</xdr:row>
      <xdr:rowOff>149678</xdr:rowOff>
    </xdr:to>
    <xdr:sp macro="" textlink="">
      <xdr:nvSpPr>
        <xdr:cNvPr id="7" name="Rechteck: abgerundete Ecken 6">
          <a:extLst>
            <a:ext uri="{FF2B5EF4-FFF2-40B4-BE49-F238E27FC236}">
              <a16:creationId xmlns:a16="http://schemas.microsoft.com/office/drawing/2014/main" id="{B748EC42-45FA-42F5-A2C6-AD1FDB7E9ACA}"/>
            </a:ext>
          </a:extLst>
        </xdr:cNvPr>
        <xdr:cNvSpPr/>
      </xdr:nvSpPr>
      <xdr:spPr>
        <a:xfrm>
          <a:off x="1490189" y="9734567"/>
          <a:ext cx="8647132" cy="879004"/>
        </a:xfrm>
        <a:prstGeom prst="roundRect">
          <a:avLst>
            <a:gd name="adj" fmla="val 9474"/>
          </a:avLst>
        </a:prstGeom>
        <a:solidFill>
          <a:srgbClr val="DF2C2A"/>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1</xdr:col>
      <xdr:colOff>4789</xdr:colOff>
      <xdr:row>26</xdr:row>
      <xdr:rowOff>8659</xdr:rowOff>
    </xdr:from>
    <xdr:to>
      <xdr:col>1</xdr:col>
      <xdr:colOff>992696</xdr:colOff>
      <xdr:row>28</xdr:row>
      <xdr:rowOff>234347</xdr:rowOff>
    </xdr:to>
    <xdr:pic>
      <xdr:nvPicPr>
        <xdr:cNvPr id="9" name="Grafik 8">
          <a:extLst>
            <a:ext uri="{FF2B5EF4-FFF2-40B4-BE49-F238E27FC236}">
              <a16:creationId xmlns:a16="http://schemas.microsoft.com/office/drawing/2014/main" id="{E489F615-146F-4F81-AA40-C5CABC60D66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368471" y="9706841"/>
          <a:ext cx="987907" cy="9876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111672</xdr:colOff>
      <xdr:row>0</xdr:row>
      <xdr:rowOff>91965</xdr:rowOff>
    </xdr:from>
    <xdr:to>
      <xdr:col>1</xdr:col>
      <xdr:colOff>381736</xdr:colOff>
      <xdr:row>3</xdr:row>
      <xdr:rowOff>154065</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1672" y="91965"/>
          <a:ext cx="637311" cy="633600"/>
        </a:xfrm>
        <a:prstGeom prst="rect">
          <a:avLst/>
        </a:prstGeom>
      </xdr:spPr>
    </xdr:pic>
    <xdr:clientData/>
  </xdr:twoCellAnchor>
  <xdr:twoCellAnchor>
    <xdr:from>
      <xdr:col>1</xdr:col>
      <xdr:colOff>491939</xdr:colOff>
      <xdr:row>1</xdr:row>
      <xdr:rowOff>72119</xdr:rowOff>
    </xdr:from>
    <xdr:to>
      <xdr:col>8</xdr:col>
      <xdr:colOff>174972</xdr:colOff>
      <xdr:row>3</xdr:row>
      <xdr:rowOff>14489</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863414" y="262619"/>
          <a:ext cx="663628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Mobilität</a:t>
          </a:r>
          <a:endParaRPr lang="de-DE" sz="1600" baseline="0"/>
        </a:p>
      </xdr:txBody>
    </xdr:sp>
    <xdr:clientData/>
  </xdr:twoCellAnchor>
  <xdr:twoCellAnchor editAs="oneCell">
    <xdr:from>
      <xdr:col>13</xdr:col>
      <xdr:colOff>19912</xdr:colOff>
      <xdr:row>0</xdr:row>
      <xdr:rowOff>62833</xdr:rowOff>
    </xdr:from>
    <xdr:to>
      <xdr:col>13</xdr:col>
      <xdr:colOff>897494</xdr:colOff>
      <xdr:row>4</xdr:row>
      <xdr:rowOff>114060</xdr:rowOff>
    </xdr:to>
    <xdr:pic>
      <xdr:nvPicPr>
        <xdr:cNvPr id="2" name="Grafik 1">
          <a:extLst>
            <a:ext uri="{FF2B5EF4-FFF2-40B4-BE49-F238E27FC236}">
              <a16:creationId xmlns:a16="http://schemas.microsoft.com/office/drawing/2014/main" id="{1FB1603C-9806-4DEB-90A9-1790EE05836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885341" y="62833"/>
          <a:ext cx="877582" cy="813227"/>
        </a:xfrm>
        <a:prstGeom prst="rect">
          <a:avLst/>
        </a:prstGeom>
      </xdr:spPr>
    </xdr:pic>
    <xdr:clientData/>
  </xdr:twoCellAnchor>
  <xdr:twoCellAnchor>
    <xdr:from>
      <xdr:col>13</xdr:col>
      <xdr:colOff>1060274</xdr:colOff>
      <xdr:row>0</xdr:row>
      <xdr:rowOff>153390</xdr:rowOff>
    </xdr:from>
    <xdr:to>
      <xdr:col>16</xdr:col>
      <xdr:colOff>1473292</xdr:colOff>
      <xdr:row>3</xdr:row>
      <xdr:rowOff>136581</xdr:rowOff>
    </xdr:to>
    <xdr:sp macro="" textlink="">
      <xdr:nvSpPr>
        <xdr:cNvPr id="5" name="Textfeld 4">
          <a:extLst>
            <a:ext uri="{FF2B5EF4-FFF2-40B4-BE49-F238E27FC236}">
              <a16:creationId xmlns:a16="http://schemas.microsoft.com/office/drawing/2014/main" id="{0984D3A2-8C62-439B-8161-CCABD648D098}"/>
            </a:ext>
          </a:extLst>
        </xdr:cNvPr>
        <xdr:cNvSpPr txBox="1"/>
      </xdr:nvSpPr>
      <xdr:spPr>
        <a:xfrm>
          <a:off x="12930395" y="153390"/>
          <a:ext cx="4958742"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Mobilität</a:t>
          </a:r>
        </a:p>
      </xdr:txBody>
    </xdr:sp>
    <xdr:clientData/>
  </xdr:twoCellAnchor>
  <xdr:twoCellAnchor>
    <xdr:from>
      <xdr:col>0</xdr:col>
      <xdr:colOff>188900</xdr:colOff>
      <xdr:row>19</xdr:row>
      <xdr:rowOff>28015</xdr:rowOff>
    </xdr:from>
    <xdr:to>
      <xdr:col>10</xdr:col>
      <xdr:colOff>874059</xdr:colOff>
      <xdr:row>40</xdr:row>
      <xdr:rowOff>112059</xdr:rowOff>
    </xdr:to>
    <xdr:sp macro="" textlink="">
      <xdr:nvSpPr>
        <xdr:cNvPr id="6" name="Textfeld 5">
          <a:extLst>
            <a:ext uri="{FF2B5EF4-FFF2-40B4-BE49-F238E27FC236}">
              <a16:creationId xmlns:a16="http://schemas.microsoft.com/office/drawing/2014/main" id="{F7B2C6BE-497F-46A4-96B7-412F82E2CADC}"/>
            </a:ext>
          </a:extLst>
        </xdr:cNvPr>
        <xdr:cNvSpPr txBox="1"/>
      </xdr:nvSpPr>
      <xdr:spPr>
        <a:xfrm>
          <a:off x="188900" y="5563721"/>
          <a:ext cx="9918806" cy="4084544"/>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Mobilität</a:t>
          </a:r>
        </a:p>
        <a:p>
          <a:endParaRPr lang="de-DE" sz="900" baseline="0"/>
        </a:p>
        <a:p>
          <a:pPr marL="171450" indent="-171450">
            <a:buFont typeface="Arial" panose="020B0604020202020204" pitchFamily="34" charset="0"/>
            <a:buChar char="•"/>
          </a:pPr>
          <a:r>
            <a:rPr lang="de-DE" sz="1100">
              <a:solidFill>
                <a:schemeClr val="dk1"/>
              </a:solidFill>
              <a:effectLst/>
              <a:latin typeface="+mn-lt"/>
              <a:ea typeface="+mn-ea"/>
              <a:cs typeface="+mn-cs"/>
            </a:rPr>
            <a:t>Abstellmöglichkeiten für Fahrräder verbessern</a:t>
          </a:r>
        </a:p>
        <a:p>
          <a:pPr marL="171450" indent="-171450">
            <a:buFont typeface="Arial" panose="020B0604020202020204" pitchFamily="34" charset="0"/>
            <a:buChar char="•"/>
          </a:pPr>
          <a:r>
            <a:rPr lang="de-DE" sz="1100">
              <a:solidFill>
                <a:schemeClr val="dk1"/>
              </a:solidFill>
              <a:effectLst/>
              <a:latin typeface="+mn-lt"/>
              <a:ea typeface="+mn-ea"/>
              <a:cs typeface="+mn-cs"/>
            </a:rPr>
            <a:t>Aktion: Schule ohne Elterntaxis</a:t>
          </a:r>
        </a:p>
        <a:p>
          <a:pPr marL="171450" indent="-171450">
            <a:buFont typeface="Arial" panose="020B0604020202020204" pitchFamily="34" charset="0"/>
            <a:buChar char="•"/>
          </a:pPr>
          <a:r>
            <a:rPr lang="de-DE" sz="1100">
              <a:solidFill>
                <a:schemeClr val="dk1"/>
              </a:solidFill>
              <a:effectLst/>
              <a:latin typeface="+mn-lt"/>
              <a:ea typeface="+mn-ea"/>
              <a:cs typeface="+mn-cs"/>
            </a:rPr>
            <a:t>Bewegungspass: Halbjährliches sechswöchiges Projekt mit Stempelkarten und kleinen Belohnungen zum CO</a:t>
          </a:r>
          <a:r>
            <a:rPr lang="de-DE" sz="1100" baseline="-25000">
              <a:solidFill>
                <a:schemeClr val="dk1"/>
              </a:solidFill>
              <a:effectLst/>
              <a:latin typeface="+mn-lt"/>
              <a:ea typeface="+mn-ea"/>
              <a:cs typeface="+mn-cs"/>
            </a:rPr>
            <a:t>2</a:t>
          </a:r>
          <a:r>
            <a:rPr lang="de-DE" sz="1100">
              <a:solidFill>
                <a:schemeClr val="dk1"/>
              </a:solidFill>
              <a:effectLst/>
              <a:latin typeface="+mn-lt"/>
              <a:ea typeface="+mn-ea"/>
              <a:cs typeface="+mn-cs"/>
            </a:rPr>
            <a:t>-sparenden Weg zur Schule (Vermeidung von Elterntaxis)</a:t>
          </a:r>
        </a:p>
        <a:p>
          <a:pPr marL="171450" indent="-171450">
            <a:buFont typeface="Arial" panose="020B0604020202020204" pitchFamily="34" charset="0"/>
            <a:buChar char="•"/>
          </a:pPr>
          <a:r>
            <a:rPr lang="de-DE" sz="1100">
              <a:solidFill>
                <a:schemeClr val="dk1"/>
              </a:solidFill>
              <a:effectLst/>
              <a:latin typeface="+mn-lt"/>
              <a:ea typeface="+mn-ea"/>
              <a:cs typeface="+mn-cs"/>
            </a:rPr>
            <a:t>Challenge "Autofreier Schulweg": Schüler und Lehrer versuchen zwei Wochen lang zu Fuß, mit dem Rad oder dem Bus zur Schule zu kommen</a:t>
          </a:r>
        </a:p>
        <a:p>
          <a:pPr marL="171450" indent="-171450">
            <a:buFont typeface="Arial" panose="020B0604020202020204" pitchFamily="34" charset="0"/>
            <a:buChar char="•"/>
          </a:pPr>
          <a:r>
            <a:rPr lang="de-DE" sz="1100">
              <a:solidFill>
                <a:schemeClr val="dk1"/>
              </a:solidFill>
              <a:effectLst/>
              <a:latin typeface="+mn-lt"/>
              <a:ea typeface="+mn-ea"/>
              <a:cs typeface="+mn-cs"/>
            </a:rPr>
            <a:t>Challenge "Zu Fuß zur Schule“: ältere Schüler gehen den Weg zur Schule gemeinsam mit jüngeren</a:t>
          </a:r>
        </a:p>
        <a:p>
          <a:pPr marL="171450" indent="-171450">
            <a:buFont typeface="Arial" panose="020B0604020202020204" pitchFamily="34" charset="0"/>
            <a:buChar char="•"/>
          </a:pPr>
          <a:r>
            <a:rPr lang="de-DE" sz="1100">
              <a:solidFill>
                <a:schemeClr val="dk1"/>
              </a:solidFill>
              <a:effectLst/>
              <a:latin typeface="+mn-lt"/>
              <a:ea typeface="+mn-ea"/>
              <a:cs typeface="+mn-cs"/>
            </a:rPr>
            <a:t>Entwicklung einer Mitfahr-App</a:t>
          </a:r>
        </a:p>
        <a:p>
          <a:pPr marL="171450" indent="-171450">
            <a:buFont typeface="Arial" panose="020B0604020202020204" pitchFamily="34" charset="0"/>
            <a:buChar char="•"/>
          </a:pPr>
          <a:r>
            <a:rPr lang="de-DE" sz="1100">
              <a:solidFill>
                <a:schemeClr val="dk1"/>
              </a:solidFill>
              <a:effectLst/>
              <a:latin typeface="+mn-lt"/>
              <a:ea typeface="+mn-ea"/>
              <a:cs typeface="+mn-cs"/>
            </a:rPr>
            <a:t>Erstellen eines nachhaltigen Fahrtenkonzepts</a:t>
          </a:r>
        </a:p>
        <a:p>
          <a:pPr marL="171450" indent="-171450">
            <a:buFont typeface="Arial" panose="020B0604020202020204" pitchFamily="34" charset="0"/>
            <a:buChar char="•"/>
          </a:pPr>
          <a:r>
            <a:rPr lang="de-DE" sz="1100">
              <a:solidFill>
                <a:schemeClr val="dk1"/>
              </a:solidFill>
              <a:effectLst/>
              <a:latin typeface="+mn-lt"/>
              <a:ea typeface="+mn-ea"/>
              <a:cs typeface="+mn-cs"/>
            </a:rPr>
            <a:t>Erstellung eines Auto – Mitfahrkonzepts zur Bildung von Fahrgemeinschaften</a:t>
          </a:r>
        </a:p>
        <a:p>
          <a:pPr marL="171450" indent="-171450">
            <a:buFont typeface="Arial" panose="020B0604020202020204" pitchFamily="34" charset="0"/>
            <a:buChar char="•"/>
          </a:pPr>
          <a:r>
            <a:rPr lang="de-DE" sz="1100">
              <a:solidFill>
                <a:schemeClr val="dk1"/>
              </a:solidFill>
              <a:effectLst/>
              <a:latin typeface="+mn-lt"/>
              <a:ea typeface="+mn-ea"/>
              <a:cs typeface="+mn-cs"/>
            </a:rPr>
            <a:t>Fahrradsicherheitstraining</a:t>
          </a:r>
        </a:p>
        <a:p>
          <a:pPr marL="171450" indent="-171450">
            <a:buFont typeface="Arial" panose="020B0604020202020204" pitchFamily="34" charset="0"/>
            <a:buChar char="•"/>
          </a:pPr>
          <a:r>
            <a:rPr lang="de-DE" sz="1100">
              <a:solidFill>
                <a:schemeClr val="dk1"/>
              </a:solidFill>
              <a:effectLst/>
              <a:latin typeface="+mn-lt"/>
              <a:ea typeface="+mn-ea"/>
              <a:cs typeface="+mn-cs"/>
            </a:rPr>
            <a:t>Fahrradwerkstatt anbieten</a:t>
          </a:r>
        </a:p>
        <a:p>
          <a:pPr marL="171450" indent="-171450">
            <a:buFont typeface="Arial" panose="020B0604020202020204" pitchFamily="34" charset="0"/>
            <a:buChar char="•"/>
          </a:pPr>
          <a:r>
            <a:rPr lang="de-DE" sz="1100">
              <a:solidFill>
                <a:schemeClr val="dk1"/>
              </a:solidFill>
              <a:effectLst/>
              <a:latin typeface="+mn-lt"/>
              <a:ea typeface="+mn-ea"/>
              <a:cs typeface="+mn-cs"/>
            </a:rPr>
            <a:t>Fußgänger-Taxi: Eltern begleiten ihre Kinder zu Fuß zur Schule</a:t>
          </a:r>
        </a:p>
        <a:p>
          <a:pPr marL="171450" indent="-171450">
            <a:buFont typeface="Arial" panose="020B0604020202020204" pitchFamily="34" charset="0"/>
            <a:buChar char="•"/>
          </a:pPr>
          <a:r>
            <a:rPr lang="de-DE" sz="1100">
              <a:solidFill>
                <a:schemeClr val="dk1"/>
              </a:solidFill>
              <a:effectLst/>
              <a:latin typeface="+mn-lt"/>
              <a:ea typeface="+mn-ea"/>
              <a:cs typeface="+mn-cs"/>
            </a:rPr>
            <a:t>Ladesäule für E-Autos installieren</a:t>
          </a:r>
        </a:p>
        <a:p>
          <a:pPr marL="171450" indent="-171450">
            <a:buFont typeface="Arial" panose="020B0604020202020204" pitchFamily="34" charset="0"/>
            <a:buChar char="•"/>
          </a:pPr>
          <a:r>
            <a:rPr lang="de-DE" sz="1100">
              <a:solidFill>
                <a:schemeClr val="dk1"/>
              </a:solidFill>
              <a:effectLst/>
              <a:latin typeface="+mn-lt"/>
              <a:ea typeface="+mn-ea"/>
              <a:cs typeface="+mn-cs"/>
            </a:rPr>
            <a:t>Lastenfahrrad mit SuS bauen</a:t>
          </a:r>
        </a:p>
        <a:p>
          <a:pPr marL="171450" indent="-171450">
            <a:buFont typeface="Arial" panose="020B0604020202020204" pitchFamily="34" charset="0"/>
            <a:buChar char="•"/>
          </a:pPr>
          <a:r>
            <a:rPr lang="de-DE" sz="1100">
              <a:solidFill>
                <a:schemeClr val="dk1"/>
              </a:solidFill>
              <a:effectLst/>
              <a:latin typeface="+mn-lt"/>
              <a:ea typeface="+mn-ea"/>
              <a:cs typeface="+mn-cs"/>
            </a:rPr>
            <a:t>Planung von klimafreundlichen Wandertagen und Klassenfahrten</a:t>
          </a:r>
        </a:p>
        <a:p>
          <a:pPr marL="171450" indent="-171450">
            <a:buFont typeface="Arial" panose="020B0604020202020204" pitchFamily="34" charset="0"/>
            <a:buChar char="•"/>
          </a:pPr>
          <a:r>
            <a:rPr lang="de-DE" sz="1100">
              <a:solidFill>
                <a:schemeClr val="dk1"/>
              </a:solidFill>
              <a:effectLst/>
              <a:latin typeface="+mn-lt"/>
              <a:ea typeface="+mn-ea"/>
              <a:cs typeface="+mn-cs"/>
            </a:rPr>
            <a:t>Radparcours (ADAC) – Geschicklichkeitstraining auf dem Fahrrad</a:t>
          </a:r>
        </a:p>
        <a:p>
          <a:pPr marL="171450" indent="-171450">
            <a:buFont typeface="Arial" panose="020B0604020202020204" pitchFamily="34" charset="0"/>
            <a:buChar char="•"/>
          </a:pPr>
          <a:r>
            <a:rPr lang="de-DE" sz="1100">
              <a:solidFill>
                <a:schemeClr val="dk1"/>
              </a:solidFill>
              <a:effectLst/>
              <a:latin typeface="+mn-lt"/>
              <a:ea typeface="+mn-ea"/>
              <a:cs typeface="+mn-cs"/>
            </a:rPr>
            <a:t>Schulbustraining</a:t>
          </a:r>
        </a:p>
        <a:p>
          <a:pPr marL="171450" indent="-171450">
            <a:buFont typeface="Arial" panose="020B0604020202020204" pitchFamily="34" charset="0"/>
            <a:buChar char="•"/>
          </a:pPr>
          <a:r>
            <a:rPr lang="de-DE" sz="1100">
              <a:solidFill>
                <a:schemeClr val="dk1"/>
              </a:solidFill>
              <a:effectLst/>
              <a:latin typeface="+mn-lt"/>
              <a:ea typeface="+mn-ea"/>
              <a:cs typeface="+mn-cs"/>
            </a:rPr>
            <a:t>Schwachstellenanalyse wichtiger Schulwege und Weitergabe an die Kommune </a:t>
          </a:r>
        </a:p>
        <a:p>
          <a:pPr marL="171450" indent="-171450">
            <a:buFont typeface="Arial" panose="020B0604020202020204" pitchFamily="34" charset="0"/>
            <a:buChar char="•"/>
          </a:pPr>
          <a:r>
            <a:rPr lang="de-DE" sz="1100">
              <a:solidFill>
                <a:schemeClr val="dk1"/>
              </a:solidFill>
              <a:effectLst/>
              <a:latin typeface="+mn-lt"/>
              <a:ea typeface="+mn-ea"/>
              <a:cs typeface="+mn-cs"/>
            </a:rPr>
            <a:t>Stundeplanung: Fahrgemeinschaften fördern</a:t>
          </a:r>
        </a:p>
        <a:p>
          <a:pPr marL="171450" indent="-171450">
            <a:buFont typeface="Arial" panose="020B0604020202020204" pitchFamily="34" charset="0"/>
            <a:buChar char="•"/>
          </a:pPr>
          <a:r>
            <a:rPr lang="de-DE" sz="1100">
              <a:solidFill>
                <a:schemeClr val="dk1"/>
              </a:solidFill>
              <a:effectLst/>
              <a:latin typeface="+mn-lt"/>
              <a:ea typeface="+mn-ea"/>
              <a:cs typeface="+mn-cs"/>
            </a:rPr>
            <a:t>Teilnahme beim Stadtradel-Wettbewerb (www.stadtradeln.de), an der Klima-Tour (Schoolbikers.de), …</a:t>
          </a:r>
        </a:p>
        <a:p>
          <a:pPr marL="171450" indent="-171450">
            <a:buFont typeface="Arial" panose="020B0604020202020204" pitchFamily="34" charset="0"/>
            <a:buChar char="•"/>
          </a:pPr>
          <a:r>
            <a:rPr lang="de-DE" sz="1100">
              <a:solidFill>
                <a:schemeClr val="dk1"/>
              </a:solidFill>
              <a:effectLst/>
              <a:latin typeface="+mn-lt"/>
              <a:ea typeface="+mn-ea"/>
              <a:cs typeface="+mn-cs"/>
            </a:rPr>
            <a:t>Trocknungs- und Umkleidemöglichkeiten für Radfahrer </a:t>
          </a:r>
        </a:p>
        <a:p>
          <a:pPr marL="171450" indent="-171450">
            <a:buFont typeface="Arial" panose="020B0604020202020204" pitchFamily="34" charset="0"/>
            <a:buChar char="•"/>
          </a:pPr>
          <a:r>
            <a:rPr lang="de-DE" sz="1100">
              <a:solidFill>
                <a:schemeClr val="dk1"/>
              </a:solidFill>
              <a:effectLst/>
              <a:latin typeface="+mn-lt"/>
              <a:ea typeface="+mn-ea"/>
              <a:cs typeface="+mn-cs"/>
            </a:rPr>
            <a:t>...</a:t>
          </a:r>
        </a:p>
        <a:p>
          <a:endParaRPr lang="de-DE" sz="1600"/>
        </a:p>
      </xdr:txBody>
    </xdr:sp>
    <xdr:clientData/>
  </xdr:twoCellAnchor>
  <xdr:twoCellAnchor editAs="oneCell">
    <xdr:from>
      <xdr:col>13</xdr:col>
      <xdr:colOff>68835</xdr:colOff>
      <xdr:row>17</xdr:row>
      <xdr:rowOff>25621</xdr:rowOff>
    </xdr:from>
    <xdr:to>
      <xdr:col>13</xdr:col>
      <xdr:colOff>1214541</xdr:colOff>
      <xdr:row>23</xdr:row>
      <xdr:rowOff>35864</xdr:rowOff>
    </xdr:to>
    <xdr:pic>
      <xdr:nvPicPr>
        <xdr:cNvPr id="8" name="Grafik 7">
          <a:extLst>
            <a:ext uri="{FF2B5EF4-FFF2-40B4-BE49-F238E27FC236}">
              <a16:creationId xmlns:a16="http://schemas.microsoft.com/office/drawing/2014/main" id="{84217CDE-1E8A-D12B-A7B7-E894C5A226B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11934264" y="5169121"/>
          <a:ext cx="1145706" cy="1153243"/>
        </a:xfrm>
        <a:prstGeom prst="rect">
          <a:avLst/>
        </a:prstGeom>
      </xdr:spPr>
    </xdr:pic>
    <xdr:clientData/>
  </xdr:twoCellAnchor>
  <xdr:twoCellAnchor>
    <xdr:from>
      <xdr:col>13</xdr:col>
      <xdr:colOff>1341664</xdr:colOff>
      <xdr:row>16</xdr:row>
      <xdr:rowOff>209550</xdr:rowOff>
    </xdr:from>
    <xdr:to>
      <xdr:col>18</xdr:col>
      <xdr:colOff>136069</xdr:colOff>
      <xdr:row>27</xdr:row>
      <xdr:rowOff>157369</xdr:rowOff>
    </xdr:to>
    <xdr:sp macro="" textlink="">
      <xdr:nvSpPr>
        <xdr:cNvPr id="9" name="Rechteck: abgerundete Ecken 8">
          <a:extLst>
            <a:ext uri="{FF2B5EF4-FFF2-40B4-BE49-F238E27FC236}">
              <a16:creationId xmlns:a16="http://schemas.microsoft.com/office/drawing/2014/main" id="{16BBD38F-134D-DDFD-2171-3490A026AC9B}"/>
            </a:ext>
          </a:extLst>
        </xdr:cNvPr>
        <xdr:cNvSpPr/>
      </xdr:nvSpPr>
      <xdr:spPr>
        <a:xfrm>
          <a:off x="14892012" y="5071441"/>
          <a:ext cx="7747905" cy="2159276"/>
        </a:xfrm>
        <a:prstGeom prst="roundRect">
          <a:avLst>
            <a:gd name="adj" fmla="val 6411"/>
          </a:avLst>
        </a:prstGeom>
        <a:solidFill>
          <a:srgbClr val="33334D"/>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de-DE" sz="1400" b="0" i="0">
              <a:solidFill>
                <a:schemeClr val="lt1"/>
              </a:solidFill>
              <a:effectLst/>
              <a:latin typeface="+mn-lt"/>
              <a:ea typeface="+mn-ea"/>
              <a:cs typeface="+mn-cs"/>
            </a:rPr>
            <a:t>Was sind Personenkilometer?</a:t>
          </a:r>
          <a:endParaRPr lang="de-DE" sz="1400">
            <a:effectLst/>
          </a:endParaRPr>
        </a:p>
        <a:p>
          <a:endParaRPr lang="de-DE" sz="1100" b="0" i="0">
            <a:solidFill>
              <a:schemeClr val="lt1"/>
            </a:solidFill>
            <a:effectLst/>
            <a:latin typeface="+mn-lt"/>
            <a:ea typeface="+mn-ea"/>
            <a:cs typeface="+mn-cs"/>
          </a:endParaRPr>
        </a:p>
        <a:p>
          <a:r>
            <a:rPr lang="de-DE" sz="1100" b="0" i="0">
              <a:solidFill>
                <a:schemeClr val="lt1"/>
              </a:solidFill>
              <a:effectLst/>
              <a:latin typeface="+mn-lt"/>
              <a:ea typeface="+mn-ea"/>
              <a:cs typeface="+mn-cs"/>
            </a:rPr>
            <a:t>Die Einheit Personenkilometer (kurz Pkm) steht für die Gesamtanzahl der zurückgelegten Kilometer, die z. B. eine Schülergruppe mit einem bestimmten Verkehrsmittel zurückgelegt haben.</a:t>
          </a:r>
          <a:r>
            <a:rPr lang="de-DE" sz="1100">
              <a:solidFill>
                <a:schemeClr val="lt1"/>
              </a:solidFill>
              <a:effectLst/>
              <a:latin typeface="+mn-lt"/>
              <a:ea typeface="+mn-ea"/>
              <a:cs typeface="+mn-cs"/>
            </a:rPr>
            <a:t> </a:t>
          </a:r>
        </a:p>
        <a:p>
          <a:endParaRPr lang="de-DE">
            <a:effectLst/>
          </a:endParaRPr>
        </a:p>
        <a:p>
          <a:r>
            <a:rPr lang="de-DE" sz="1100" b="1" i="0">
              <a:solidFill>
                <a:schemeClr val="lt1"/>
              </a:solidFill>
              <a:effectLst/>
              <a:latin typeface="+mn-lt"/>
              <a:ea typeface="+mn-ea"/>
              <a:cs typeface="+mn-cs"/>
            </a:rPr>
            <a:t>Beispiel: </a:t>
          </a:r>
          <a:r>
            <a:rPr lang="de-DE" sz="1100" b="0" i="0">
              <a:solidFill>
                <a:schemeClr val="lt1"/>
              </a:solidFill>
              <a:effectLst/>
              <a:latin typeface="+mn-lt"/>
              <a:ea typeface="+mn-ea"/>
              <a:cs typeface="+mn-cs"/>
            </a:rPr>
            <a:t>Fahrt nach Rom</a:t>
          </a:r>
          <a:r>
            <a:rPr lang="de-DE" sz="1100">
              <a:solidFill>
                <a:schemeClr val="lt1"/>
              </a:solidFill>
              <a:effectLst/>
              <a:latin typeface="+mn-lt"/>
              <a:ea typeface="+mn-ea"/>
              <a:cs typeface="+mn-cs"/>
            </a:rPr>
            <a:t> </a:t>
          </a:r>
          <a:endParaRPr lang="de-DE">
            <a:effectLst/>
          </a:endParaRPr>
        </a:p>
        <a:p>
          <a:r>
            <a:rPr lang="de-DE" sz="1100">
              <a:solidFill>
                <a:schemeClr val="lt1"/>
              </a:solidFill>
              <a:effectLst/>
              <a:latin typeface="+mn-lt"/>
              <a:ea typeface="+mn-ea"/>
              <a:cs typeface="+mn-cs"/>
            </a:rPr>
            <a:t>30</a:t>
          </a:r>
          <a:r>
            <a:rPr lang="de-DE" sz="1100" baseline="0">
              <a:solidFill>
                <a:schemeClr val="lt1"/>
              </a:solidFill>
              <a:effectLst/>
              <a:latin typeface="+mn-lt"/>
              <a:ea typeface="+mn-ea"/>
              <a:cs typeface="+mn-cs"/>
            </a:rPr>
            <a:t> Schülerinnen und Schüler nehmen an einem Austausch mit einer Schule in Rom teil. Zwei Lehrkräfte begleiten die Fahrt. Die Fahrstrecke beträgt insgesamt 2400 km.</a:t>
          </a:r>
          <a:endParaRPr lang="de-DE">
            <a:effectLst/>
          </a:endParaRPr>
        </a:p>
        <a:p>
          <a:endParaRPr lang="de-DE" sz="1100" baseline="0">
            <a:solidFill>
              <a:schemeClr val="lt1"/>
            </a:solidFill>
            <a:effectLst/>
            <a:latin typeface="+mn-lt"/>
            <a:ea typeface="+mn-ea"/>
            <a:cs typeface="+mn-cs"/>
          </a:endParaRPr>
        </a:p>
        <a:p>
          <a:r>
            <a:rPr lang="de-DE" sz="1100" baseline="0">
              <a:solidFill>
                <a:schemeClr val="lt1"/>
              </a:solidFill>
              <a:effectLst/>
              <a:latin typeface="+mn-lt"/>
              <a:ea typeface="+mn-ea"/>
              <a:cs typeface="+mn-cs"/>
            </a:rPr>
            <a:t>Die Anzahl der Personenkilometer berechent sich dann wie folgt: (30 + 2) x 2400 km  = 32 x 2400 km = 76832 Personenkilometer </a:t>
          </a:r>
          <a:endParaRPr lang="de-DE" sz="1100"/>
        </a:p>
      </xdr:txBody>
    </xdr:sp>
    <xdr:clientData/>
  </xdr:twoCellAnchor>
  <xdr:twoCellAnchor>
    <xdr:from>
      <xdr:col>1</xdr:col>
      <xdr:colOff>1094324</xdr:colOff>
      <xdr:row>41</xdr:row>
      <xdr:rowOff>177964</xdr:rowOff>
    </xdr:from>
    <xdr:to>
      <xdr:col>10</xdr:col>
      <xdr:colOff>545520</xdr:colOff>
      <xdr:row>46</xdr:row>
      <xdr:rowOff>147364</xdr:rowOff>
    </xdr:to>
    <xdr:sp macro="" textlink="">
      <xdr:nvSpPr>
        <xdr:cNvPr id="12" name="Rechteck: abgerundete Ecken 11">
          <a:extLst>
            <a:ext uri="{FF2B5EF4-FFF2-40B4-BE49-F238E27FC236}">
              <a16:creationId xmlns:a16="http://schemas.microsoft.com/office/drawing/2014/main" id="{9AFE2897-70F7-425A-AAD8-0FCB33E1D72B}"/>
            </a:ext>
          </a:extLst>
        </xdr:cNvPr>
        <xdr:cNvSpPr/>
      </xdr:nvSpPr>
      <xdr:spPr>
        <a:xfrm>
          <a:off x="1408089" y="9904670"/>
          <a:ext cx="8371078" cy="921900"/>
        </a:xfrm>
        <a:prstGeom prst="roundRect">
          <a:avLst>
            <a:gd name="adj" fmla="val 9474"/>
          </a:avLst>
        </a:prstGeom>
        <a:solidFill>
          <a:srgbClr val="33334D"/>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0</xdr:col>
      <xdr:colOff>210802</xdr:colOff>
      <xdr:row>41</xdr:row>
      <xdr:rowOff>130467</xdr:rowOff>
    </xdr:from>
    <xdr:to>
      <xdr:col>1</xdr:col>
      <xdr:colOff>832916</xdr:colOff>
      <xdr:row>46</xdr:row>
      <xdr:rowOff>165655</xdr:rowOff>
    </xdr:to>
    <xdr:pic>
      <xdr:nvPicPr>
        <xdr:cNvPr id="13" name="Grafik 12">
          <a:extLst>
            <a:ext uri="{FF2B5EF4-FFF2-40B4-BE49-F238E27FC236}">
              <a16:creationId xmlns:a16="http://schemas.microsoft.com/office/drawing/2014/main" id="{7D684D60-6DC5-4B8D-A7C3-9863E42328C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0918923">
          <a:off x="210802" y="9857173"/>
          <a:ext cx="990308" cy="9876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472889</xdr:colOff>
      <xdr:row>1</xdr:row>
      <xdr:rowOff>62594</xdr:rowOff>
    </xdr:from>
    <xdr:to>
      <xdr:col>9</xdr:col>
      <xdr:colOff>155922</xdr:colOff>
      <xdr:row>3</xdr:row>
      <xdr:rowOff>4964</xdr:rowOff>
    </xdr:to>
    <xdr:sp macro="" textlink="">
      <xdr:nvSpPr>
        <xdr:cNvPr id="2" name="Textfeld 1">
          <a:extLst>
            <a:ext uri="{FF2B5EF4-FFF2-40B4-BE49-F238E27FC236}">
              <a16:creationId xmlns:a16="http://schemas.microsoft.com/office/drawing/2014/main" id="{05262BD7-90AE-4B52-942C-50760E151269}"/>
            </a:ext>
          </a:extLst>
        </xdr:cNvPr>
        <xdr:cNvSpPr txBox="1"/>
      </xdr:nvSpPr>
      <xdr:spPr>
        <a:xfrm>
          <a:off x="844364" y="253094"/>
          <a:ext cx="768403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Weitere Projekte und</a:t>
          </a:r>
          <a:r>
            <a:rPr lang="de-DE" sz="1600" baseline="0"/>
            <a:t> Maßnahmen </a:t>
          </a:r>
          <a:r>
            <a:rPr lang="de-DE" sz="1600"/>
            <a:t>zu den</a:t>
          </a:r>
          <a:r>
            <a:rPr lang="de-DE" sz="1600" baseline="0"/>
            <a:t> 17 UN-Nachhaltigkeitszielen</a:t>
          </a:r>
        </a:p>
      </xdr:txBody>
    </xdr:sp>
    <xdr:clientData/>
  </xdr:twoCellAnchor>
  <xdr:twoCellAnchor>
    <xdr:from>
      <xdr:col>11</xdr:col>
      <xdr:colOff>0</xdr:colOff>
      <xdr:row>0</xdr:row>
      <xdr:rowOff>164887</xdr:rowOff>
    </xdr:from>
    <xdr:to>
      <xdr:col>11</xdr:col>
      <xdr:colOff>0</xdr:colOff>
      <xdr:row>3</xdr:row>
      <xdr:rowOff>148078</xdr:rowOff>
    </xdr:to>
    <xdr:sp macro="" textlink="">
      <xdr:nvSpPr>
        <xdr:cNvPr id="3" name="Textfeld 2">
          <a:extLst>
            <a:ext uri="{FF2B5EF4-FFF2-40B4-BE49-F238E27FC236}">
              <a16:creationId xmlns:a16="http://schemas.microsoft.com/office/drawing/2014/main" id="{540A57CB-30A8-46F4-A8F4-4F04D9B55D3A}"/>
            </a:ext>
          </a:extLst>
        </xdr:cNvPr>
        <xdr:cNvSpPr txBox="1"/>
      </xdr:nvSpPr>
      <xdr:spPr>
        <a:xfrm>
          <a:off x="10639425" y="164887"/>
          <a:ext cx="0"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Wärme</a:t>
          </a:r>
        </a:p>
      </xdr:txBody>
    </xdr:sp>
    <xdr:clientData/>
  </xdr:twoCellAnchor>
  <xdr:twoCellAnchor>
    <xdr:from>
      <xdr:col>0</xdr:col>
      <xdr:colOff>27214</xdr:colOff>
      <xdr:row>21</xdr:row>
      <xdr:rowOff>81643</xdr:rowOff>
    </xdr:from>
    <xdr:to>
      <xdr:col>9</xdr:col>
      <xdr:colOff>1152525</xdr:colOff>
      <xdr:row>25</xdr:row>
      <xdr:rowOff>219075</xdr:rowOff>
    </xdr:to>
    <xdr:sp macro="" textlink="">
      <xdr:nvSpPr>
        <xdr:cNvPr id="4" name="Textfeld 3">
          <a:extLst>
            <a:ext uri="{FF2B5EF4-FFF2-40B4-BE49-F238E27FC236}">
              <a16:creationId xmlns:a16="http://schemas.microsoft.com/office/drawing/2014/main" id="{FAAB4DDF-030F-4BCC-8EDC-95B7C239F4DD}"/>
            </a:ext>
          </a:extLst>
        </xdr:cNvPr>
        <xdr:cNvSpPr txBox="1"/>
      </xdr:nvSpPr>
      <xdr:spPr>
        <a:xfrm>
          <a:off x="27214" y="6587218"/>
          <a:ext cx="9926411" cy="2099582"/>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600" baseline="0"/>
            <a:t>Beispiele für Maßnahmen im Handlungsfeld </a:t>
          </a:r>
          <a:r>
            <a:rPr lang="de-DE" sz="1600" baseline="0">
              <a:solidFill>
                <a:schemeClr val="dk1"/>
              </a:solidFill>
              <a:latin typeface="+mn-lt"/>
              <a:ea typeface="+mn-ea"/>
              <a:cs typeface="+mn-cs"/>
            </a:rPr>
            <a:t>Weitere Projekte und Maßnahmen zu den </a:t>
          </a:r>
        </a:p>
        <a:p>
          <a:pPr marL="0" marR="0" lvl="0" indent="0" defTabSz="914400" eaLnBrk="1" fontAlgn="auto" latinLnBrk="0" hangingPunct="1">
            <a:lnSpc>
              <a:spcPct val="100000"/>
            </a:lnSpc>
            <a:spcBef>
              <a:spcPts val="0"/>
            </a:spcBef>
            <a:spcAft>
              <a:spcPts val="0"/>
            </a:spcAft>
            <a:buClrTx/>
            <a:buSzTx/>
            <a:buFontTx/>
            <a:buNone/>
            <a:tabLst/>
            <a:defRPr/>
          </a:pPr>
          <a:r>
            <a:rPr lang="de-DE" sz="1600" baseline="0">
              <a:solidFill>
                <a:schemeClr val="dk1"/>
              </a:solidFill>
              <a:latin typeface="+mn-lt"/>
              <a:ea typeface="+mn-ea"/>
              <a:cs typeface="+mn-cs"/>
            </a:rPr>
            <a:t>17 UN-Nachhaltigkeitszielen (SDGs):</a:t>
          </a:r>
        </a:p>
        <a:p>
          <a:pPr marL="0" marR="0" lvl="0" indent="0" defTabSz="914400" eaLnBrk="1" fontAlgn="auto" latinLnBrk="0" hangingPunct="1">
            <a:lnSpc>
              <a:spcPct val="100000"/>
            </a:lnSpc>
            <a:spcBef>
              <a:spcPts val="0"/>
            </a:spcBef>
            <a:spcAft>
              <a:spcPts val="0"/>
            </a:spcAft>
            <a:buClrTx/>
            <a:buSzTx/>
            <a:buFontTx/>
            <a:buNone/>
            <a:tabLst/>
            <a:defRPr/>
          </a:pPr>
          <a:endParaRPr lang="de-DE" sz="1600" baseline="0">
            <a:solidFill>
              <a:schemeClr val="dk1"/>
            </a:solidFill>
            <a:latin typeface="+mn-lt"/>
            <a:ea typeface="+mn-ea"/>
            <a:cs typeface="+mn-cs"/>
          </a:endParaRPr>
        </a:p>
        <a:p>
          <a:pPr lvl="0"/>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Ansaat einer Blühwiese</a:t>
          </a:r>
        </a:p>
        <a:p>
          <a:pPr lvl="0"/>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Bau von Insektenhotels</a:t>
          </a:r>
        </a:p>
        <a:p>
          <a:pPr lvl="0"/>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Einführung eines Fairtradeverkaufs</a:t>
          </a:r>
        </a:p>
        <a:p>
          <a:pPr lvl="0"/>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Unterrichtsprojekt zum Wasserfußabruck von Konsumgütern</a:t>
          </a:r>
        </a:p>
        <a:p>
          <a:pPr lvl="0"/>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Spenden an gemeinnützige Projekte</a:t>
          </a:r>
        </a:p>
        <a:p>
          <a:pPr lvl="0"/>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a:solidFill>
                <a:schemeClr val="dk1"/>
              </a:solidFill>
              <a:effectLst/>
              <a:latin typeface="+mn-lt"/>
              <a:ea typeface="+mn-ea"/>
              <a:cs typeface="+mn-cs"/>
            </a:rPr>
            <a:t>Schulpatenschaften</a:t>
          </a: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endParaRPr lang="de-DE" sz="16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600"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600"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600" baseline="0">
            <a:solidFill>
              <a:schemeClr val="dk1"/>
            </a:solidFill>
            <a:latin typeface="+mn-lt"/>
            <a:ea typeface="+mn-ea"/>
            <a:cs typeface="+mn-cs"/>
          </a:endParaRPr>
        </a:p>
        <a:p>
          <a:endParaRPr lang="de-DE" sz="1600" baseline="0">
            <a:solidFill>
              <a:schemeClr val="dk1"/>
            </a:solidFill>
            <a:latin typeface="+mn-lt"/>
            <a:ea typeface="+mn-ea"/>
            <a:cs typeface="+mn-cs"/>
          </a:endParaRPr>
        </a:p>
        <a:p>
          <a:endParaRPr lang="de-DE" sz="1600" baseline="0">
            <a:solidFill>
              <a:schemeClr val="dk1"/>
            </a:solidFill>
            <a:latin typeface="+mn-lt"/>
            <a:ea typeface="+mn-ea"/>
            <a:cs typeface="+mn-cs"/>
          </a:endParaRPr>
        </a:p>
        <a:p>
          <a:endParaRPr lang="de-DE" sz="1100" b="0" i="0" u="none" strike="noStrike">
            <a:solidFill>
              <a:schemeClr val="dk1"/>
            </a:solidFill>
            <a:effectLst/>
            <a:latin typeface="+mn-lt"/>
            <a:ea typeface="+mn-ea"/>
            <a:cs typeface="+mn-cs"/>
          </a:endParaRPr>
        </a:p>
      </xdr:txBody>
    </xdr:sp>
    <xdr:clientData/>
  </xdr:twoCellAnchor>
  <xdr:twoCellAnchor>
    <xdr:from>
      <xdr:col>0</xdr:col>
      <xdr:colOff>125251</xdr:colOff>
      <xdr:row>5</xdr:row>
      <xdr:rowOff>50366</xdr:rowOff>
    </xdr:from>
    <xdr:to>
      <xdr:col>8</xdr:col>
      <xdr:colOff>447262</xdr:colOff>
      <xdr:row>9</xdr:row>
      <xdr:rowOff>0</xdr:rowOff>
    </xdr:to>
    <xdr:sp macro="" textlink="">
      <xdr:nvSpPr>
        <xdr:cNvPr id="5" name="Rechteck: abgerundete Ecken 4">
          <a:extLst>
            <a:ext uri="{FF2B5EF4-FFF2-40B4-BE49-F238E27FC236}">
              <a16:creationId xmlns:a16="http://schemas.microsoft.com/office/drawing/2014/main" id="{997D50DF-0D79-4984-9C01-6302438B1FBC}"/>
            </a:ext>
          </a:extLst>
        </xdr:cNvPr>
        <xdr:cNvSpPr/>
      </xdr:nvSpPr>
      <xdr:spPr>
        <a:xfrm>
          <a:off x="125251" y="1002866"/>
          <a:ext cx="8056311" cy="730684"/>
        </a:xfrm>
        <a:prstGeom prst="roundRect">
          <a:avLst>
            <a:gd name="adj" fmla="val 9474"/>
          </a:avLst>
        </a:prstGeom>
        <a:solidFill>
          <a:srgbClr val="19486A"/>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0" i="0">
              <a:solidFill>
                <a:schemeClr val="lt1"/>
              </a:solidFill>
              <a:effectLst/>
              <a:latin typeface="+mn-lt"/>
              <a:ea typeface="+mn-ea"/>
              <a:cs typeface="+mn-cs"/>
            </a:rPr>
            <a:t>Die folgende</a:t>
          </a:r>
          <a:r>
            <a:rPr lang="de-DE" sz="1100" b="0" i="0" baseline="0">
              <a:solidFill>
                <a:schemeClr val="lt1"/>
              </a:solidFill>
              <a:effectLst/>
              <a:latin typeface="+mn-lt"/>
              <a:ea typeface="+mn-ea"/>
              <a:cs typeface="+mn-cs"/>
            </a:rPr>
            <a:t> Planungstabelle ist für die Erstzertifizierung freiwillig und ab der Rezertifizierung in den Stufen Silber und Gold verpflichtend. In der Tabelle können alle Projekte und Maßnahmen an Schulen erfasst werden, die einen Beitrag zur Erfüllung der </a:t>
          </a:r>
        </a:p>
        <a:p>
          <a:pPr fontAlgn="ctr"/>
          <a:r>
            <a:rPr lang="de-DE" sz="1100" b="0" i="0" baseline="0">
              <a:solidFill>
                <a:schemeClr val="lt1"/>
              </a:solidFill>
              <a:effectLst/>
              <a:latin typeface="+mn-lt"/>
              <a:ea typeface="+mn-ea"/>
              <a:cs typeface="+mn-cs"/>
            </a:rPr>
            <a:t>17 Nachhaltigkeitsziele leisten und wegen des fehlendes Klimaschutzbezuges nicht in eines der acht Handlungsfelder passen.</a:t>
          </a:r>
        </a:p>
      </xdr:txBody>
    </xdr:sp>
    <xdr:clientData/>
  </xdr:twoCellAnchor>
  <xdr:twoCellAnchor editAs="oneCell">
    <xdr:from>
      <xdr:col>8</xdr:col>
      <xdr:colOff>910147</xdr:colOff>
      <xdr:row>5</xdr:row>
      <xdr:rowOff>54067</xdr:rowOff>
    </xdr:from>
    <xdr:to>
      <xdr:col>9</xdr:col>
      <xdr:colOff>849282</xdr:colOff>
      <xdr:row>10</xdr:row>
      <xdr:rowOff>89255</xdr:rowOff>
    </xdr:to>
    <xdr:pic>
      <xdr:nvPicPr>
        <xdr:cNvPr id="6" name="Grafik 5">
          <a:extLst>
            <a:ext uri="{FF2B5EF4-FFF2-40B4-BE49-F238E27FC236}">
              <a16:creationId xmlns:a16="http://schemas.microsoft.com/office/drawing/2014/main" id="{5E7C1D80-B0DE-405B-8FBC-229370CDE1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857043">
          <a:off x="8482522" y="1006567"/>
          <a:ext cx="1018261" cy="987688"/>
        </a:xfrm>
        <a:prstGeom prst="rect">
          <a:avLst/>
        </a:prstGeom>
      </xdr:spPr>
    </xdr:pic>
    <xdr:clientData/>
  </xdr:twoCellAnchor>
  <xdr:twoCellAnchor editAs="oneCell">
    <xdr:from>
      <xdr:col>0</xdr:col>
      <xdr:colOff>0</xdr:colOff>
      <xdr:row>0</xdr:row>
      <xdr:rowOff>34637</xdr:rowOff>
    </xdr:from>
    <xdr:to>
      <xdr:col>1</xdr:col>
      <xdr:colOff>411802</xdr:colOff>
      <xdr:row>4</xdr:row>
      <xdr:rowOff>3183</xdr:rowOff>
    </xdr:to>
    <xdr:pic>
      <xdr:nvPicPr>
        <xdr:cNvPr id="7" name="Grafik 6" descr="Ein Bild, das Kreis, Farbigkeit, Kunst enthält.&#10;&#10;Automatisch generierte Beschreibung">
          <a:extLst>
            <a:ext uri="{FF2B5EF4-FFF2-40B4-BE49-F238E27FC236}">
              <a16:creationId xmlns:a16="http://schemas.microsoft.com/office/drawing/2014/main" id="{938D2AD1-05CA-4630-A89B-3423A158269C}"/>
            </a:ext>
          </a:extLst>
        </xdr:cNvPr>
        <xdr:cNvPicPr>
          <a:picLocks noChangeAspect="1"/>
        </xdr:cNvPicPr>
      </xdr:nvPicPr>
      <xdr:blipFill>
        <a:blip xmlns:r="http://schemas.openxmlformats.org/officeDocument/2006/relationships" r:embed="rId3"/>
        <a:stretch/>
      </xdr:blipFill>
      <xdr:spPr bwMode="auto">
        <a:xfrm>
          <a:off x="0" y="34637"/>
          <a:ext cx="727248" cy="720121"/>
        </a:xfrm>
        <a:prstGeom prst="rect">
          <a:avLst/>
        </a:prstGeom>
        <a:noFill/>
        <a:ln>
          <a:noFill/>
        </a:ln>
      </xdr:spPr>
    </xdr:pic>
    <xdr:clientData/>
  </xdr:twoCellAnchor>
  <xdr:twoCellAnchor editAs="oneCell">
    <xdr:from>
      <xdr:col>10</xdr:col>
      <xdr:colOff>281157</xdr:colOff>
      <xdr:row>12</xdr:row>
      <xdr:rowOff>40027</xdr:rowOff>
    </xdr:from>
    <xdr:to>
      <xdr:col>10</xdr:col>
      <xdr:colOff>713157</xdr:colOff>
      <xdr:row>13</xdr:row>
      <xdr:rowOff>91027</xdr:rowOff>
    </xdr:to>
    <xdr:pic>
      <xdr:nvPicPr>
        <xdr:cNvPr id="8" name="Grafik 7">
          <a:hlinkClick xmlns:r="http://schemas.openxmlformats.org/officeDocument/2006/relationships" r:id="rId4"/>
          <a:extLst>
            <a:ext uri="{FF2B5EF4-FFF2-40B4-BE49-F238E27FC236}">
              <a16:creationId xmlns:a16="http://schemas.microsoft.com/office/drawing/2014/main" id="{75534554-63F3-4154-8417-D06A95972553}"/>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9806157" y="3278527"/>
          <a:ext cx="432000" cy="432000"/>
        </a:xfrm>
        <a:prstGeom prst="rect">
          <a:avLst/>
        </a:prstGeom>
      </xdr:spPr>
    </xdr:pic>
    <xdr:clientData/>
  </xdr:twoCellAnchor>
  <xdr:twoCellAnchor editAs="oneCell">
    <xdr:from>
      <xdr:col>10</xdr:col>
      <xdr:colOff>288560</xdr:colOff>
      <xdr:row>13</xdr:row>
      <xdr:rowOff>247742</xdr:rowOff>
    </xdr:from>
    <xdr:to>
      <xdr:col>10</xdr:col>
      <xdr:colOff>721327</xdr:colOff>
      <xdr:row>14</xdr:row>
      <xdr:rowOff>50264</xdr:rowOff>
    </xdr:to>
    <xdr:pic>
      <xdr:nvPicPr>
        <xdr:cNvPr id="9" name="Grafik 8">
          <a:hlinkClick xmlns:r="http://schemas.openxmlformats.org/officeDocument/2006/relationships" r:id="rId7"/>
          <a:extLst>
            <a:ext uri="{FF2B5EF4-FFF2-40B4-BE49-F238E27FC236}">
              <a16:creationId xmlns:a16="http://schemas.microsoft.com/office/drawing/2014/main" id="{4BFC7B48-7589-4792-8A63-424F301FCF89}"/>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9817613" y="3867242"/>
          <a:ext cx="432767" cy="430767"/>
        </a:xfrm>
        <a:prstGeom prst="rect">
          <a:avLst/>
        </a:prstGeom>
      </xdr:spPr>
    </xdr:pic>
    <xdr:clientData/>
  </xdr:twoCellAnchor>
  <xdr:twoCellAnchor editAs="oneCell">
    <xdr:from>
      <xdr:col>10</xdr:col>
      <xdr:colOff>301488</xdr:colOff>
      <xdr:row>14</xdr:row>
      <xdr:rowOff>197083</xdr:rowOff>
    </xdr:from>
    <xdr:to>
      <xdr:col>10</xdr:col>
      <xdr:colOff>721327</xdr:colOff>
      <xdr:row>15</xdr:row>
      <xdr:rowOff>839</xdr:rowOff>
    </xdr:to>
    <xdr:pic>
      <xdr:nvPicPr>
        <xdr:cNvPr id="10" name="Grafik 9">
          <a:hlinkClick xmlns:r="http://schemas.openxmlformats.org/officeDocument/2006/relationships" r:id="rId10"/>
          <a:extLst>
            <a:ext uri="{FF2B5EF4-FFF2-40B4-BE49-F238E27FC236}">
              <a16:creationId xmlns:a16="http://schemas.microsoft.com/office/drawing/2014/main" id="{D2F114A8-84EE-438C-8B6D-278AED657E93}"/>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9830541" y="4444828"/>
          <a:ext cx="419839" cy="432000"/>
        </a:xfrm>
        <a:prstGeom prst="rect">
          <a:avLst/>
        </a:prstGeom>
      </xdr:spPr>
    </xdr:pic>
    <xdr:clientData/>
  </xdr:twoCellAnchor>
  <xdr:twoCellAnchor editAs="oneCell">
    <xdr:from>
      <xdr:col>10</xdr:col>
      <xdr:colOff>300364</xdr:colOff>
      <xdr:row>15</xdr:row>
      <xdr:rowOff>147658</xdr:rowOff>
    </xdr:from>
    <xdr:to>
      <xdr:col>10</xdr:col>
      <xdr:colOff>721327</xdr:colOff>
      <xdr:row>15</xdr:row>
      <xdr:rowOff>579658</xdr:rowOff>
    </xdr:to>
    <xdr:pic>
      <xdr:nvPicPr>
        <xdr:cNvPr id="11" name="Grafik 10">
          <a:hlinkClick xmlns:r="http://schemas.openxmlformats.org/officeDocument/2006/relationships" r:id="rId13"/>
          <a:extLst>
            <a:ext uri="{FF2B5EF4-FFF2-40B4-BE49-F238E27FC236}">
              <a16:creationId xmlns:a16="http://schemas.microsoft.com/office/drawing/2014/main" id="{CF93AC1B-066C-463A-B8E1-8E7D5A72BBB9}"/>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9829417" y="5023647"/>
          <a:ext cx="420963" cy="432000"/>
        </a:xfrm>
        <a:prstGeom prst="rect">
          <a:avLst/>
        </a:prstGeom>
      </xdr:spPr>
    </xdr:pic>
    <xdr:clientData/>
  </xdr:twoCellAnchor>
  <xdr:twoCellAnchor editAs="oneCell">
    <xdr:from>
      <xdr:col>10</xdr:col>
      <xdr:colOff>298165</xdr:colOff>
      <xdr:row>16</xdr:row>
      <xdr:rowOff>98231</xdr:rowOff>
    </xdr:from>
    <xdr:to>
      <xdr:col>10</xdr:col>
      <xdr:colOff>721327</xdr:colOff>
      <xdr:row>16</xdr:row>
      <xdr:rowOff>530231</xdr:rowOff>
    </xdr:to>
    <xdr:pic>
      <xdr:nvPicPr>
        <xdr:cNvPr id="12" name="Grafik 11">
          <a:hlinkClick xmlns:r="http://schemas.openxmlformats.org/officeDocument/2006/relationships" r:id="rId16"/>
          <a:extLst>
            <a:ext uri="{FF2B5EF4-FFF2-40B4-BE49-F238E27FC236}">
              <a16:creationId xmlns:a16="http://schemas.microsoft.com/office/drawing/2014/main" id="{E4AA6524-9816-40DE-9B20-9C2285460C38}"/>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9827218" y="5602465"/>
          <a:ext cx="423162" cy="432000"/>
        </a:xfrm>
        <a:prstGeom prst="rect">
          <a:avLst/>
        </a:prstGeom>
      </xdr:spPr>
    </xdr:pic>
    <xdr:clientData/>
  </xdr:twoCellAnchor>
  <xdr:twoCellAnchor editAs="oneCell">
    <xdr:from>
      <xdr:col>10</xdr:col>
      <xdr:colOff>290375</xdr:colOff>
      <xdr:row>17</xdr:row>
      <xdr:rowOff>42160</xdr:rowOff>
    </xdr:from>
    <xdr:to>
      <xdr:col>10</xdr:col>
      <xdr:colOff>720283</xdr:colOff>
      <xdr:row>17</xdr:row>
      <xdr:rowOff>474160</xdr:rowOff>
    </xdr:to>
    <xdr:pic>
      <xdr:nvPicPr>
        <xdr:cNvPr id="13" name="Grafik 12">
          <a:hlinkClick xmlns:r="http://schemas.openxmlformats.org/officeDocument/2006/relationships" r:id="rId19"/>
          <a:extLst>
            <a:ext uri="{FF2B5EF4-FFF2-40B4-BE49-F238E27FC236}">
              <a16:creationId xmlns:a16="http://schemas.microsoft.com/office/drawing/2014/main" id="{9BEDA61B-A080-441C-A2E2-F4D11854C736}"/>
            </a:ext>
          </a:extLst>
        </xdr:cNvPr>
        <xdr:cNvPicPr>
          <a:picLocks noChangeAspect="1"/>
        </xdr:cNvPicPr>
      </xdr:nvPicPr>
      <xdr:blipFill>
        <a:blip xmlns:r="http://schemas.openxmlformats.org/officeDocument/2006/relationships" r:embed="rId20">
          <a:extLst>
            <a:ext uri="{96DAC541-7B7A-43D3-8B79-37D633B846F1}">
              <asvg:svgBlip xmlns:asvg="http://schemas.microsoft.com/office/drawing/2016/SVG/main" r:embed="rId21"/>
            </a:ext>
          </a:extLst>
        </a:blip>
        <a:stretch>
          <a:fillRect/>
        </a:stretch>
      </xdr:blipFill>
      <xdr:spPr>
        <a:xfrm>
          <a:off x="9821520" y="6181176"/>
          <a:ext cx="429908" cy="432000"/>
        </a:xfrm>
        <a:prstGeom prst="rect">
          <a:avLst/>
        </a:prstGeom>
      </xdr:spPr>
    </xdr:pic>
    <xdr:clientData/>
  </xdr:twoCellAnchor>
  <xdr:twoCellAnchor editAs="oneCell">
    <xdr:from>
      <xdr:col>10</xdr:col>
      <xdr:colOff>730733</xdr:colOff>
      <xdr:row>12</xdr:row>
      <xdr:rowOff>44930</xdr:rowOff>
    </xdr:from>
    <xdr:to>
      <xdr:col>10</xdr:col>
      <xdr:colOff>1156397</xdr:colOff>
      <xdr:row>13</xdr:row>
      <xdr:rowOff>95930</xdr:rowOff>
    </xdr:to>
    <xdr:pic>
      <xdr:nvPicPr>
        <xdr:cNvPr id="14" name="Grafik 13">
          <a:hlinkClick xmlns:r="http://schemas.openxmlformats.org/officeDocument/2006/relationships" r:id="rId22"/>
          <a:extLst>
            <a:ext uri="{FF2B5EF4-FFF2-40B4-BE49-F238E27FC236}">
              <a16:creationId xmlns:a16="http://schemas.microsoft.com/office/drawing/2014/main" id="{79A96886-E9FE-471C-8387-76AB72D78729}"/>
            </a:ext>
          </a:extLst>
        </xdr:cNvPr>
        <xdr:cNvPicPr>
          <a:picLocks noChangeAspect="1"/>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10255733" y="3283430"/>
          <a:ext cx="425664" cy="432000"/>
        </a:xfrm>
        <a:prstGeom prst="rect">
          <a:avLst/>
        </a:prstGeom>
      </xdr:spPr>
    </xdr:pic>
    <xdr:clientData/>
  </xdr:twoCellAnchor>
  <xdr:twoCellAnchor editAs="oneCell">
    <xdr:from>
      <xdr:col>10</xdr:col>
      <xdr:colOff>730733</xdr:colOff>
      <xdr:row>13</xdr:row>
      <xdr:rowOff>244886</xdr:rowOff>
    </xdr:from>
    <xdr:to>
      <xdr:col>10</xdr:col>
      <xdr:colOff>1161908</xdr:colOff>
      <xdr:row>14</xdr:row>
      <xdr:rowOff>47408</xdr:rowOff>
    </xdr:to>
    <xdr:pic>
      <xdr:nvPicPr>
        <xdr:cNvPr id="15" name="Grafik 14">
          <a:hlinkClick xmlns:r="http://schemas.openxmlformats.org/officeDocument/2006/relationships" r:id="rId25"/>
          <a:extLst>
            <a:ext uri="{FF2B5EF4-FFF2-40B4-BE49-F238E27FC236}">
              <a16:creationId xmlns:a16="http://schemas.microsoft.com/office/drawing/2014/main" id="{0D7B4504-ECB4-4A06-8A61-AD0639FEA3BD}"/>
            </a:ext>
          </a:extLst>
        </xdr:cNvPr>
        <xdr:cNvPicPr>
          <a:picLocks noChangeAspect="1"/>
        </xdr:cNvPicPr>
      </xdr:nvPicPr>
      <xdr:blipFill>
        <a:blip xmlns:r="http://schemas.openxmlformats.org/officeDocument/2006/relationships" r:embed="rId26">
          <a:extLst>
            <a:ext uri="{96DAC541-7B7A-43D3-8B79-37D633B846F1}">
              <asvg:svgBlip xmlns:asvg="http://schemas.microsoft.com/office/drawing/2016/SVG/main" r:embed="rId27"/>
            </a:ext>
          </a:extLst>
        </a:blip>
        <a:stretch>
          <a:fillRect/>
        </a:stretch>
      </xdr:blipFill>
      <xdr:spPr>
        <a:xfrm>
          <a:off x="10255733" y="3864386"/>
          <a:ext cx="431175" cy="432000"/>
        </a:xfrm>
        <a:prstGeom prst="rect">
          <a:avLst/>
        </a:prstGeom>
      </xdr:spPr>
    </xdr:pic>
    <xdr:clientData/>
  </xdr:twoCellAnchor>
  <xdr:twoCellAnchor editAs="oneCell">
    <xdr:from>
      <xdr:col>10</xdr:col>
      <xdr:colOff>730733</xdr:colOff>
      <xdr:row>14</xdr:row>
      <xdr:rowOff>196364</xdr:rowOff>
    </xdr:from>
    <xdr:to>
      <xdr:col>10</xdr:col>
      <xdr:colOff>1158897</xdr:colOff>
      <xdr:row>15</xdr:row>
      <xdr:rowOff>834</xdr:rowOff>
    </xdr:to>
    <xdr:pic>
      <xdr:nvPicPr>
        <xdr:cNvPr id="16" name="Grafik 15">
          <a:hlinkClick xmlns:r="http://schemas.openxmlformats.org/officeDocument/2006/relationships" r:id="rId28"/>
          <a:extLst>
            <a:ext uri="{FF2B5EF4-FFF2-40B4-BE49-F238E27FC236}">
              <a16:creationId xmlns:a16="http://schemas.microsoft.com/office/drawing/2014/main" id="{999EF4B7-1720-47E2-B429-F6DC2073DD8C}"/>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10255733" y="4445342"/>
          <a:ext cx="428164" cy="432000"/>
        </a:xfrm>
        <a:prstGeom prst="rect">
          <a:avLst/>
        </a:prstGeom>
      </xdr:spPr>
    </xdr:pic>
    <xdr:clientData/>
  </xdr:twoCellAnchor>
  <xdr:twoCellAnchor editAs="oneCell">
    <xdr:from>
      <xdr:col>10</xdr:col>
      <xdr:colOff>730733</xdr:colOff>
      <xdr:row>15</xdr:row>
      <xdr:rowOff>147841</xdr:rowOff>
    </xdr:from>
    <xdr:to>
      <xdr:col>10</xdr:col>
      <xdr:colOff>1162084</xdr:colOff>
      <xdr:row>15</xdr:row>
      <xdr:rowOff>579841</xdr:rowOff>
    </xdr:to>
    <xdr:pic>
      <xdr:nvPicPr>
        <xdr:cNvPr id="17" name="Grafik 16">
          <a:hlinkClick xmlns:r="http://schemas.openxmlformats.org/officeDocument/2006/relationships" r:id="rId31"/>
          <a:extLst>
            <a:ext uri="{FF2B5EF4-FFF2-40B4-BE49-F238E27FC236}">
              <a16:creationId xmlns:a16="http://schemas.microsoft.com/office/drawing/2014/main" id="{C069B6F5-D110-48A2-AFD1-2FC7D3E48387}"/>
            </a:ext>
          </a:extLst>
        </xdr:cNvPr>
        <xdr:cNvPicPr>
          <a:picLocks noChangeAspect="1"/>
        </xdr:cNvPicPr>
      </xdr:nvPicPr>
      <xdr:blipFill>
        <a:blip xmlns:r="http://schemas.openxmlformats.org/officeDocument/2006/relationships" r:embed="rId32">
          <a:extLst>
            <a:ext uri="{96DAC541-7B7A-43D3-8B79-37D633B846F1}">
              <asvg:svgBlip xmlns:asvg="http://schemas.microsoft.com/office/drawing/2016/SVG/main" r:embed="rId33"/>
            </a:ext>
          </a:extLst>
        </a:blip>
        <a:stretch>
          <a:fillRect/>
        </a:stretch>
      </xdr:blipFill>
      <xdr:spPr>
        <a:xfrm>
          <a:off x="10255733" y="5026298"/>
          <a:ext cx="431351" cy="432000"/>
        </a:xfrm>
        <a:prstGeom prst="rect">
          <a:avLst/>
        </a:prstGeom>
      </xdr:spPr>
    </xdr:pic>
    <xdr:clientData/>
  </xdr:twoCellAnchor>
  <xdr:twoCellAnchor editAs="oneCell">
    <xdr:from>
      <xdr:col>10</xdr:col>
      <xdr:colOff>730733</xdr:colOff>
      <xdr:row>16</xdr:row>
      <xdr:rowOff>99319</xdr:rowOff>
    </xdr:from>
    <xdr:to>
      <xdr:col>10</xdr:col>
      <xdr:colOff>1168382</xdr:colOff>
      <xdr:row>16</xdr:row>
      <xdr:rowOff>531319</xdr:rowOff>
    </xdr:to>
    <xdr:pic>
      <xdr:nvPicPr>
        <xdr:cNvPr id="18" name="Grafik 17">
          <a:hlinkClick xmlns:r="http://schemas.openxmlformats.org/officeDocument/2006/relationships" r:id="rId34"/>
          <a:extLst>
            <a:ext uri="{FF2B5EF4-FFF2-40B4-BE49-F238E27FC236}">
              <a16:creationId xmlns:a16="http://schemas.microsoft.com/office/drawing/2014/main" id="{8662B48C-2AF5-4314-B606-4C44F0825C64}"/>
            </a:ext>
          </a:extLst>
        </xdr:cNvPr>
        <xdr:cNvPicPr>
          <a:picLocks noChangeAspect="1"/>
        </xdr:cNvPicPr>
      </xdr:nvPicPr>
      <xdr:blipFill>
        <a:blip xmlns:r="http://schemas.openxmlformats.org/officeDocument/2006/relationships" r:embed="rId35">
          <a:extLst>
            <a:ext uri="{96DAC541-7B7A-43D3-8B79-37D633B846F1}">
              <asvg:svgBlip xmlns:asvg="http://schemas.microsoft.com/office/drawing/2016/SVG/main" r:embed="rId36"/>
            </a:ext>
          </a:extLst>
        </a:blip>
        <a:stretch>
          <a:fillRect/>
        </a:stretch>
      </xdr:blipFill>
      <xdr:spPr>
        <a:xfrm>
          <a:off x="10255733" y="5607254"/>
          <a:ext cx="437649" cy="432000"/>
        </a:xfrm>
        <a:prstGeom prst="rect">
          <a:avLst/>
        </a:prstGeom>
      </xdr:spPr>
    </xdr:pic>
    <xdr:clientData/>
  </xdr:twoCellAnchor>
  <xdr:twoCellAnchor editAs="oneCell">
    <xdr:from>
      <xdr:col>10</xdr:col>
      <xdr:colOff>731845</xdr:colOff>
      <xdr:row>17</xdr:row>
      <xdr:rowOff>41708</xdr:rowOff>
    </xdr:from>
    <xdr:to>
      <xdr:col>10</xdr:col>
      <xdr:colOff>1160941</xdr:colOff>
      <xdr:row>17</xdr:row>
      <xdr:rowOff>473708</xdr:rowOff>
    </xdr:to>
    <xdr:pic>
      <xdr:nvPicPr>
        <xdr:cNvPr id="19" name="Grafik 18">
          <a:hlinkClick xmlns:r="http://schemas.openxmlformats.org/officeDocument/2006/relationships" r:id="rId37"/>
          <a:extLst>
            <a:ext uri="{FF2B5EF4-FFF2-40B4-BE49-F238E27FC236}">
              <a16:creationId xmlns:a16="http://schemas.microsoft.com/office/drawing/2014/main" id="{FCA513F6-BE8C-4073-8E55-CF85C9C84772}"/>
            </a:ext>
          </a:extLst>
        </xdr:cNvPr>
        <xdr:cNvPicPr>
          <a:picLocks noChangeAspect="1"/>
        </xdr:cNvPicPr>
      </xdr:nvPicPr>
      <xdr:blipFill>
        <a:blip xmlns:r="http://schemas.openxmlformats.org/officeDocument/2006/relationships" r:embed="rId38">
          <a:extLst>
            <a:ext uri="{96DAC541-7B7A-43D3-8B79-37D633B846F1}">
              <asvg:svgBlip xmlns:asvg="http://schemas.microsoft.com/office/drawing/2016/SVG/main" r:embed="rId39"/>
            </a:ext>
          </a:extLst>
        </a:blip>
        <a:stretch>
          <a:fillRect/>
        </a:stretch>
      </xdr:blipFill>
      <xdr:spPr>
        <a:xfrm>
          <a:off x="10262990" y="6180724"/>
          <a:ext cx="429096" cy="432000"/>
        </a:xfrm>
        <a:prstGeom prst="rect">
          <a:avLst/>
        </a:prstGeom>
      </xdr:spPr>
    </xdr:pic>
    <xdr:clientData/>
  </xdr:twoCellAnchor>
  <xdr:twoCellAnchor editAs="oneCell">
    <xdr:from>
      <xdr:col>10</xdr:col>
      <xdr:colOff>1174792</xdr:colOff>
      <xdr:row>12</xdr:row>
      <xdr:rowOff>45389</xdr:rowOff>
    </xdr:from>
    <xdr:to>
      <xdr:col>11</xdr:col>
      <xdr:colOff>349010</xdr:colOff>
      <xdr:row>13</xdr:row>
      <xdr:rowOff>96389</xdr:rowOff>
    </xdr:to>
    <xdr:pic>
      <xdr:nvPicPr>
        <xdr:cNvPr id="20" name="Grafik 19">
          <a:hlinkClick xmlns:r="http://schemas.openxmlformats.org/officeDocument/2006/relationships" r:id="rId40"/>
          <a:extLst>
            <a:ext uri="{FF2B5EF4-FFF2-40B4-BE49-F238E27FC236}">
              <a16:creationId xmlns:a16="http://schemas.microsoft.com/office/drawing/2014/main" id="{72D03DB7-7D45-4541-99EF-3C9B11ABA529}"/>
            </a:ext>
          </a:extLst>
        </xdr:cNvPr>
        <xdr:cNvPicPr>
          <a:picLocks noChangeAspect="1"/>
        </xdr:cNvPicPr>
      </xdr:nvPicPr>
      <xdr:blipFill>
        <a:blip xmlns:r="http://schemas.openxmlformats.org/officeDocument/2006/relationships" r:embed="rId41">
          <a:extLst>
            <a:ext uri="{96DAC541-7B7A-43D3-8B79-37D633B846F1}">
              <asvg:svgBlip xmlns:asvg="http://schemas.microsoft.com/office/drawing/2016/SVG/main" r:embed="rId42"/>
            </a:ext>
          </a:extLst>
        </a:blip>
        <a:stretch>
          <a:fillRect/>
        </a:stretch>
      </xdr:blipFill>
      <xdr:spPr>
        <a:xfrm>
          <a:off x="10707119" y="3283889"/>
          <a:ext cx="419795" cy="432000"/>
        </a:xfrm>
        <a:prstGeom prst="rect">
          <a:avLst/>
        </a:prstGeom>
      </xdr:spPr>
    </xdr:pic>
    <xdr:clientData/>
  </xdr:twoCellAnchor>
  <xdr:twoCellAnchor editAs="oneCell">
    <xdr:from>
      <xdr:col>10</xdr:col>
      <xdr:colOff>1174792</xdr:colOff>
      <xdr:row>13</xdr:row>
      <xdr:rowOff>245039</xdr:rowOff>
    </xdr:from>
    <xdr:to>
      <xdr:col>11</xdr:col>
      <xdr:colOff>368068</xdr:colOff>
      <xdr:row>14</xdr:row>
      <xdr:rowOff>48389</xdr:rowOff>
    </xdr:to>
    <xdr:pic>
      <xdr:nvPicPr>
        <xdr:cNvPr id="21" name="Grafik 20">
          <a:hlinkClick xmlns:r="http://schemas.openxmlformats.org/officeDocument/2006/relationships" r:id="rId43"/>
          <a:extLst>
            <a:ext uri="{FF2B5EF4-FFF2-40B4-BE49-F238E27FC236}">
              <a16:creationId xmlns:a16="http://schemas.microsoft.com/office/drawing/2014/main" id="{D017A323-1ECA-4D45-A16A-05AC87B18E36}"/>
            </a:ext>
          </a:extLst>
        </xdr:cNvPr>
        <xdr:cNvPicPr>
          <a:picLocks noChangeAspect="1"/>
        </xdr:cNvPicPr>
      </xdr:nvPicPr>
      <xdr:blipFill>
        <a:blip xmlns:r="http://schemas.openxmlformats.org/officeDocument/2006/relationships" r:embed="rId44">
          <a:extLst>
            <a:ext uri="{96DAC541-7B7A-43D3-8B79-37D633B846F1}">
              <asvg:svgBlip xmlns:asvg="http://schemas.microsoft.com/office/drawing/2016/SVG/main" r:embed="rId45"/>
            </a:ext>
          </a:extLst>
        </a:blip>
        <a:stretch>
          <a:fillRect/>
        </a:stretch>
      </xdr:blipFill>
      <xdr:spPr>
        <a:xfrm>
          <a:off x="10707119" y="3864539"/>
          <a:ext cx="438853" cy="433465"/>
        </a:xfrm>
        <a:prstGeom prst="rect">
          <a:avLst/>
        </a:prstGeom>
      </xdr:spPr>
    </xdr:pic>
    <xdr:clientData/>
  </xdr:twoCellAnchor>
  <xdr:twoCellAnchor editAs="oneCell">
    <xdr:from>
      <xdr:col>10</xdr:col>
      <xdr:colOff>1174792</xdr:colOff>
      <xdr:row>14</xdr:row>
      <xdr:rowOff>197039</xdr:rowOff>
    </xdr:from>
    <xdr:to>
      <xdr:col>11</xdr:col>
      <xdr:colOff>365435</xdr:colOff>
      <xdr:row>15</xdr:row>
      <xdr:rowOff>389</xdr:rowOff>
    </xdr:to>
    <xdr:pic>
      <xdr:nvPicPr>
        <xdr:cNvPr id="22" name="Grafik 21">
          <a:hlinkClick xmlns:r="http://schemas.openxmlformats.org/officeDocument/2006/relationships" r:id="rId46"/>
          <a:extLst>
            <a:ext uri="{FF2B5EF4-FFF2-40B4-BE49-F238E27FC236}">
              <a16:creationId xmlns:a16="http://schemas.microsoft.com/office/drawing/2014/main" id="{D749E1E2-C4A1-4D1E-AEC3-C9DCA7C01ABF}"/>
            </a:ext>
          </a:extLst>
        </xdr:cNvPr>
        <xdr:cNvPicPr>
          <a:picLocks noChangeAspect="1"/>
        </xdr:cNvPicPr>
      </xdr:nvPicPr>
      <xdr:blipFill>
        <a:blip xmlns:r="http://schemas.openxmlformats.org/officeDocument/2006/relationships" r:embed="rId47">
          <a:extLst>
            <a:ext uri="{96DAC541-7B7A-43D3-8B79-37D633B846F1}">
              <asvg:svgBlip xmlns:asvg="http://schemas.microsoft.com/office/drawing/2016/SVG/main" r:embed="rId48"/>
            </a:ext>
          </a:extLst>
        </a:blip>
        <a:stretch>
          <a:fillRect/>
        </a:stretch>
      </xdr:blipFill>
      <xdr:spPr>
        <a:xfrm>
          <a:off x="10707119" y="4446654"/>
          <a:ext cx="436220" cy="433466"/>
        </a:xfrm>
        <a:prstGeom prst="rect">
          <a:avLst/>
        </a:prstGeom>
      </xdr:spPr>
    </xdr:pic>
    <xdr:clientData/>
  </xdr:twoCellAnchor>
  <xdr:twoCellAnchor editAs="oneCell">
    <xdr:from>
      <xdr:col>10</xdr:col>
      <xdr:colOff>1174792</xdr:colOff>
      <xdr:row>15</xdr:row>
      <xdr:rowOff>149039</xdr:rowOff>
    </xdr:from>
    <xdr:to>
      <xdr:col>11</xdr:col>
      <xdr:colOff>357606</xdr:colOff>
      <xdr:row>15</xdr:row>
      <xdr:rowOff>581039</xdr:rowOff>
    </xdr:to>
    <xdr:pic>
      <xdr:nvPicPr>
        <xdr:cNvPr id="23" name="Grafik 22">
          <a:hlinkClick xmlns:r="http://schemas.openxmlformats.org/officeDocument/2006/relationships" r:id="rId49"/>
          <a:extLst>
            <a:ext uri="{FF2B5EF4-FFF2-40B4-BE49-F238E27FC236}">
              <a16:creationId xmlns:a16="http://schemas.microsoft.com/office/drawing/2014/main" id="{52232162-27F1-4F4A-8D71-8CE42C4557E4}"/>
            </a:ext>
          </a:extLst>
        </xdr:cNvPr>
        <xdr:cNvPicPr>
          <a:picLocks noChangeAspect="1"/>
        </xdr:cNvPicPr>
      </xdr:nvPicPr>
      <xdr:blipFill>
        <a:blip xmlns:r="http://schemas.openxmlformats.org/officeDocument/2006/relationships" r:embed="rId50">
          <a:extLst>
            <a:ext uri="{96DAC541-7B7A-43D3-8B79-37D633B846F1}">
              <asvg:svgBlip xmlns:asvg="http://schemas.microsoft.com/office/drawing/2016/SVG/main" r:embed="rId51"/>
            </a:ext>
          </a:extLst>
        </a:blip>
        <a:stretch>
          <a:fillRect/>
        </a:stretch>
      </xdr:blipFill>
      <xdr:spPr>
        <a:xfrm>
          <a:off x="10707119" y="5028770"/>
          <a:ext cx="428391" cy="432000"/>
        </a:xfrm>
        <a:prstGeom prst="rect">
          <a:avLst/>
        </a:prstGeom>
      </xdr:spPr>
    </xdr:pic>
    <xdr:clientData/>
  </xdr:twoCellAnchor>
  <xdr:twoCellAnchor editAs="oneCell">
    <xdr:from>
      <xdr:col>10</xdr:col>
      <xdr:colOff>1174792</xdr:colOff>
      <xdr:row>16</xdr:row>
      <xdr:rowOff>99576</xdr:rowOff>
    </xdr:from>
    <xdr:to>
      <xdr:col>11</xdr:col>
      <xdr:colOff>358876</xdr:colOff>
      <xdr:row>16</xdr:row>
      <xdr:rowOff>531171</xdr:rowOff>
    </xdr:to>
    <xdr:pic>
      <xdr:nvPicPr>
        <xdr:cNvPr id="24" name="Grafik 23">
          <a:hlinkClick xmlns:r="http://schemas.openxmlformats.org/officeDocument/2006/relationships" r:id="rId52"/>
          <a:extLst>
            <a:ext uri="{FF2B5EF4-FFF2-40B4-BE49-F238E27FC236}">
              <a16:creationId xmlns:a16="http://schemas.microsoft.com/office/drawing/2014/main" id="{B1B475CC-761A-4B80-AF8E-3357AEB3D8CA}"/>
            </a:ext>
          </a:extLst>
        </xdr:cNvPr>
        <xdr:cNvPicPr>
          <a:picLocks noChangeAspect="1"/>
        </xdr:cNvPicPr>
      </xdr:nvPicPr>
      <xdr:blipFill>
        <a:blip xmlns:r="http://schemas.openxmlformats.org/officeDocument/2006/relationships" r:embed="rId53">
          <a:extLst>
            <a:ext uri="{96DAC541-7B7A-43D3-8B79-37D633B846F1}">
              <asvg:svgBlip xmlns:asvg="http://schemas.microsoft.com/office/drawing/2016/SVG/main" r:embed="rId54"/>
            </a:ext>
          </a:extLst>
        </a:blip>
        <a:stretch>
          <a:fillRect/>
        </a:stretch>
      </xdr:blipFill>
      <xdr:spPr>
        <a:xfrm>
          <a:off x="10707119" y="5609422"/>
          <a:ext cx="429661" cy="431595"/>
        </a:xfrm>
        <a:prstGeom prst="rect">
          <a:avLst/>
        </a:prstGeom>
      </xdr:spPr>
    </xdr:pic>
    <xdr:clientData/>
  </xdr:twoCellAnchor>
  <xdr:twoCellAnchor>
    <xdr:from>
      <xdr:col>10</xdr:col>
      <xdr:colOff>246529</xdr:colOff>
      <xdr:row>10</xdr:row>
      <xdr:rowOff>168088</xdr:rowOff>
    </xdr:from>
    <xdr:to>
      <xdr:col>12</xdr:col>
      <xdr:colOff>593912</xdr:colOff>
      <xdr:row>11</xdr:row>
      <xdr:rowOff>280147</xdr:rowOff>
    </xdr:to>
    <xdr:sp macro="" textlink="">
      <xdr:nvSpPr>
        <xdr:cNvPr id="102" name="Rechteck: abgerundete Ecken 101">
          <a:extLst>
            <a:ext uri="{FF2B5EF4-FFF2-40B4-BE49-F238E27FC236}">
              <a16:creationId xmlns:a16="http://schemas.microsoft.com/office/drawing/2014/main" id="{91FB7BB9-6143-4468-A6C7-3721FB151CD0}"/>
            </a:ext>
          </a:extLst>
        </xdr:cNvPr>
        <xdr:cNvSpPr/>
      </xdr:nvSpPr>
      <xdr:spPr>
        <a:xfrm>
          <a:off x="9782735" y="2835088"/>
          <a:ext cx="2353236" cy="302559"/>
        </a:xfrm>
        <a:prstGeom prst="roundRect">
          <a:avLst>
            <a:gd name="adj" fmla="val 9474"/>
          </a:avLst>
        </a:prstGeom>
        <a:solidFill>
          <a:srgbClr val="19486A"/>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Weitere</a:t>
          </a:r>
          <a:r>
            <a:rPr lang="de-DE" sz="1100" b="1" i="0" baseline="0">
              <a:solidFill>
                <a:schemeClr val="lt1"/>
              </a:solidFill>
              <a:effectLst/>
              <a:latin typeface="+mn-lt"/>
              <a:ea typeface="+mn-ea"/>
              <a:cs typeface="+mn-cs"/>
            </a:rPr>
            <a:t> Infos zu 17 SDGs</a:t>
          </a:r>
          <a:endParaRPr lang="de-DE" sz="1100"/>
        </a:p>
      </xdr:txBody>
    </xdr:sp>
    <xdr:clientData/>
  </xdr:twoCellAnchor>
  <xdr:twoCellAnchor editAs="oneCell">
    <xdr:from>
      <xdr:col>10</xdr:col>
      <xdr:colOff>289327</xdr:colOff>
      <xdr:row>12</xdr:row>
      <xdr:rowOff>49923</xdr:rowOff>
    </xdr:from>
    <xdr:to>
      <xdr:col>10</xdr:col>
      <xdr:colOff>721327</xdr:colOff>
      <xdr:row>13</xdr:row>
      <xdr:rowOff>100923</xdr:rowOff>
    </xdr:to>
    <xdr:pic>
      <xdr:nvPicPr>
        <xdr:cNvPr id="81" name="Grafik 80">
          <a:hlinkClick xmlns:r="http://schemas.openxmlformats.org/officeDocument/2006/relationships" r:id="rId4"/>
          <a:extLst>
            <a:ext uri="{FF2B5EF4-FFF2-40B4-BE49-F238E27FC236}">
              <a16:creationId xmlns:a16="http://schemas.microsoft.com/office/drawing/2014/main" id="{F3A79D4C-4834-AC2C-0B1F-C393A250D91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9818380" y="3288423"/>
          <a:ext cx="432000" cy="432000"/>
        </a:xfrm>
        <a:prstGeom prst="rect">
          <a:avLst/>
        </a:prstGeom>
      </xdr:spPr>
    </xdr:pic>
    <xdr:clientData/>
  </xdr:twoCellAnchor>
  <xdr:twoCellAnchor editAs="oneCell">
    <xdr:from>
      <xdr:col>11</xdr:col>
      <xdr:colOff>521982</xdr:colOff>
      <xdr:row>12</xdr:row>
      <xdr:rowOff>228304</xdr:rowOff>
    </xdr:from>
    <xdr:to>
      <xdr:col>12</xdr:col>
      <xdr:colOff>443387</xdr:colOff>
      <xdr:row>14</xdr:row>
      <xdr:rowOff>241081</xdr:rowOff>
    </xdr:to>
    <xdr:pic>
      <xdr:nvPicPr>
        <xdr:cNvPr id="154" name="Grafik 153">
          <a:extLst>
            <a:ext uri="{FF2B5EF4-FFF2-40B4-BE49-F238E27FC236}">
              <a16:creationId xmlns:a16="http://schemas.microsoft.com/office/drawing/2014/main" id="{F86CF2FC-8798-9609-EC3A-12F940B2104C}"/>
            </a:ext>
          </a:extLst>
        </xdr:cNvPr>
        <xdr:cNvPicPr>
          <a:picLocks noChangeAspect="1"/>
        </xdr:cNvPicPr>
      </xdr:nvPicPr>
      <xdr:blipFill>
        <a:blip xmlns:r="http://schemas.openxmlformats.org/officeDocument/2006/relationships" r:embed="rId55">
          <a:extLst>
            <a:ext uri="{96DAC541-7B7A-43D3-8B79-37D633B846F1}">
              <asvg:svgBlip xmlns:asvg="http://schemas.microsoft.com/office/drawing/2016/SVG/main" r:embed="rId56"/>
            </a:ext>
          </a:extLst>
        </a:blip>
        <a:stretch>
          <a:fillRect/>
        </a:stretch>
      </xdr:blipFill>
      <xdr:spPr>
        <a:xfrm flipH="1">
          <a:off x="11294757" y="2895304"/>
          <a:ext cx="683405" cy="102242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472889</xdr:colOff>
      <xdr:row>1</xdr:row>
      <xdr:rowOff>62594</xdr:rowOff>
    </xdr:from>
    <xdr:to>
      <xdr:col>8</xdr:col>
      <xdr:colOff>155922</xdr:colOff>
      <xdr:row>3</xdr:row>
      <xdr:rowOff>4964</xdr:rowOff>
    </xdr:to>
    <xdr:sp macro="" textlink="">
      <xdr:nvSpPr>
        <xdr:cNvPr id="3" name="Textfeld 2">
          <a:extLst>
            <a:ext uri="{FF2B5EF4-FFF2-40B4-BE49-F238E27FC236}">
              <a16:creationId xmlns:a16="http://schemas.microsoft.com/office/drawing/2014/main" id="{7930013A-2855-45E7-8830-F4B95A906D91}"/>
            </a:ext>
          </a:extLst>
        </xdr:cNvPr>
        <xdr:cNvSpPr txBox="1"/>
      </xdr:nvSpPr>
      <xdr:spPr>
        <a:xfrm>
          <a:off x="844364" y="253094"/>
          <a:ext cx="6750583"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Klimawandelanpassung (freiwilliges Handlungsfeld)</a:t>
          </a:r>
          <a:endParaRPr lang="de-DE" sz="1600" baseline="0"/>
        </a:p>
      </xdr:txBody>
    </xdr:sp>
    <xdr:clientData/>
  </xdr:twoCellAnchor>
  <xdr:twoCellAnchor>
    <xdr:from>
      <xdr:col>10</xdr:col>
      <xdr:colOff>0</xdr:colOff>
      <xdr:row>0</xdr:row>
      <xdr:rowOff>164887</xdr:rowOff>
    </xdr:from>
    <xdr:to>
      <xdr:col>10</xdr:col>
      <xdr:colOff>0</xdr:colOff>
      <xdr:row>3</xdr:row>
      <xdr:rowOff>148078</xdr:rowOff>
    </xdr:to>
    <xdr:sp macro="" textlink="">
      <xdr:nvSpPr>
        <xdr:cNvPr id="5" name="Textfeld 4">
          <a:extLst>
            <a:ext uri="{FF2B5EF4-FFF2-40B4-BE49-F238E27FC236}">
              <a16:creationId xmlns:a16="http://schemas.microsoft.com/office/drawing/2014/main" id="{AD066493-F9D2-44B2-B9BC-031888481207}"/>
            </a:ext>
          </a:extLst>
        </xdr:cNvPr>
        <xdr:cNvSpPr txBox="1"/>
      </xdr:nvSpPr>
      <xdr:spPr>
        <a:xfrm>
          <a:off x="12806722" y="164887"/>
          <a:ext cx="4042443" cy="5546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600" b="0" i="0" u="none" strike="noStrike">
              <a:solidFill>
                <a:schemeClr val="dk1"/>
              </a:solidFill>
              <a:effectLst/>
              <a:latin typeface="+mn-lt"/>
              <a:ea typeface="+mn-ea"/>
              <a:cs typeface="+mn-cs"/>
            </a:rPr>
            <a:t>CO</a:t>
          </a:r>
          <a:r>
            <a:rPr lang="de-DE" sz="1600" b="0" i="0" u="none" strike="noStrike" baseline="-25000">
              <a:solidFill>
                <a:schemeClr val="dk1"/>
              </a:solidFill>
              <a:effectLst/>
              <a:latin typeface="+mn-lt"/>
              <a:ea typeface="+mn-ea"/>
              <a:cs typeface="+mn-cs"/>
            </a:rPr>
            <a:t>2</a:t>
          </a:r>
          <a:r>
            <a:rPr lang="de-DE" sz="1600" b="0" i="0" u="none" strike="noStrike">
              <a:solidFill>
                <a:schemeClr val="dk1"/>
              </a:solidFill>
              <a:effectLst/>
              <a:latin typeface="+mn-lt"/>
              <a:ea typeface="+mn-ea"/>
              <a:cs typeface="+mn-cs"/>
            </a:rPr>
            <a:t>-Einsparungsrechner: Wärme</a:t>
          </a:r>
        </a:p>
      </xdr:txBody>
    </xdr:sp>
    <xdr:clientData/>
  </xdr:twoCellAnchor>
  <xdr:twoCellAnchor>
    <xdr:from>
      <xdr:col>0</xdr:col>
      <xdr:colOff>27214</xdr:colOff>
      <xdr:row>13</xdr:row>
      <xdr:rowOff>81643</xdr:rowOff>
    </xdr:from>
    <xdr:to>
      <xdr:col>9</xdr:col>
      <xdr:colOff>0</xdr:colOff>
      <xdr:row>16</xdr:row>
      <xdr:rowOff>145677</xdr:rowOff>
    </xdr:to>
    <xdr:sp macro="" textlink="">
      <xdr:nvSpPr>
        <xdr:cNvPr id="6" name="Textfeld 5">
          <a:extLst>
            <a:ext uri="{FF2B5EF4-FFF2-40B4-BE49-F238E27FC236}">
              <a16:creationId xmlns:a16="http://schemas.microsoft.com/office/drawing/2014/main" id="{2B41EA5B-A87F-4813-8F67-02943BFF1323}"/>
            </a:ext>
          </a:extLst>
        </xdr:cNvPr>
        <xdr:cNvSpPr txBox="1"/>
      </xdr:nvSpPr>
      <xdr:spPr>
        <a:xfrm>
          <a:off x="27214" y="5247555"/>
          <a:ext cx="9486580" cy="1644063"/>
        </a:xfrm>
        <a:prstGeom prst="rect">
          <a:avLst/>
        </a:prstGeom>
        <a:solidFill>
          <a:schemeClr val="lt1"/>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baseline="0"/>
            <a:t>Beispiele für Maßnahmen im Handlungsfeld Klimawandelanpassung</a:t>
          </a:r>
        </a:p>
        <a:p>
          <a:endParaRPr lang="de-DE"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a:t>
          </a:r>
          <a:r>
            <a:rPr lang="de-DE" sz="1100"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Entsiegelung von Flächen</a:t>
          </a:r>
          <a:r>
            <a:rPr lang="de-DE" sz="1100" b="0" i="0" u="none" strike="noStrike" baseline="0">
              <a:solidFill>
                <a:schemeClr val="dk1"/>
              </a:solidFill>
              <a:effectLst/>
              <a:latin typeface="+mn-lt"/>
              <a:ea typeface="+mn-ea"/>
              <a:cs typeface="+mn-cs"/>
            </a:rPr>
            <a:t>, z. B. Parkplätzen</a:t>
          </a:r>
        </a:p>
        <a:p>
          <a:r>
            <a:rPr lang="de-DE" sz="1100">
              <a:solidFill>
                <a:schemeClr val="dk1"/>
              </a:solidFill>
              <a:effectLst/>
              <a:latin typeface="+mn-lt"/>
              <a:ea typeface="+mn-ea"/>
              <a:cs typeface="+mn-cs"/>
            </a:rPr>
            <a:t>•</a:t>
          </a:r>
          <a:r>
            <a:rPr lang="de-DE" sz="1100" b="0" i="0" u="none" strike="noStrike" baseline="0">
              <a:solidFill>
                <a:schemeClr val="dk1"/>
              </a:solidFill>
              <a:effectLst/>
              <a:latin typeface="+mn-lt"/>
              <a:ea typeface="+mn-ea"/>
              <a:cs typeface="+mn-cs"/>
            </a:rPr>
            <a:t> Dachbegrünung</a:t>
          </a:r>
        </a:p>
        <a:p>
          <a:r>
            <a:rPr lang="de-DE" sz="1100">
              <a:solidFill>
                <a:schemeClr val="dk1"/>
              </a:solidFill>
              <a:effectLst/>
              <a:latin typeface="+mn-lt"/>
              <a:ea typeface="+mn-ea"/>
              <a:cs typeface="+mn-cs"/>
            </a:rPr>
            <a:t>•</a:t>
          </a:r>
          <a:r>
            <a:rPr lang="de-DE" sz="1100" b="0" i="0" u="none" strike="noStrike" baseline="0">
              <a:solidFill>
                <a:schemeClr val="dk1"/>
              </a:solidFill>
              <a:effectLst/>
              <a:latin typeface="+mn-lt"/>
              <a:ea typeface="+mn-ea"/>
              <a:cs typeface="+mn-cs"/>
            </a:rPr>
            <a:t> Fassadenbegrünung</a:t>
          </a:r>
        </a:p>
        <a:p>
          <a:r>
            <a:rPr lang="de-DE" sz="1100">
              <a:solidFill>
                <a:schemeClr val="dk1"/>
              </a:solidFill>
              <a:effectLst/>
              <a:latin typeface="+mn-lt"/>
              <a:ea typeface="+mn-ea"/>
              <a:cs typeface="+mn-cs"/>
            </a:rPr>
            <a:t>• </a:t>
          </a:r>
          <a:r>
            <a:rPr lang="de-DE" sz="1100" b="0" i="0" u="none" strike="noStrike" baseline="0">
              <a:solidFill>
                <a:schemeClr val="dk1"/>
              </a:solidFill>
              <a:effectLst/>
              <a:latin typeface="+mn-lt"/>
              <a:ea typeface="+mn-ea"/>
              <a:cs typeface="+mn-cs"/>
            </a:rPr>
            <a:t>Sonnenschutz auf dem Schulgelände</a:t>
          </a:r>
        </a:p>
        <a:p>
          <a:r>
            <a:rPr lang="de-DE" sz="1100">
              <a:solidFill>
                <a:schemeClr val="dk1"/>
              </a:solidFill>
              <a:effectLst/>
              <a:latin typeface="+mn-lt"/>
              <a:ea typeface="+mn-ea"/>
              <a:cs typeface="+mn-cs"/>
            </a:rPr>
            <a:t>• </a:t>
          </a:r>
          <a:r>
            <a:rPr lang="de-DE" sz="1100" b="0" i="0" u="none" strike="noStrike" baseline="0">
              <a:solidFill>
                <a:schemeClr val="dk1"/>
              </a:solidFill>
              <a:effectLst/>
              <a:latin typeface="+mn-lt"/>
              <a:ea typeface="+mn-ea"/>
              <a:cs typeface="+mn-cs"/>
            </a:rPr>
            <a:t>...</a:t>
          </a:r>
          <a:endParaRPr lang="de-DE" sz="1100" b="0" i="0" u="none" strike="noStrike">
            <a:solidFill>
              <a:schemeClr val="dk1"/>
            </a:solidFill>
            <a:effectLst/>
            <a:latin typeface="+mn-lt"/>
            <a:ea typeface="+mn-ea"/>
            <a:cs typeface="+mn-cs"/>
          </a:endParaRPr>
        </a:p>
      </xdr:txBody>
    </xdr:sp>
    <xdr:clientData/>
  </xdr:twoCellAnchor>
  <xdr:twoCellAnchor>
    <xdr:from>
      <xdr:col>1</xdr:col>
      <xdr:colOff>1194834</xdr:colOff>
      <xdr:row>16</xdr:row>
      <xdr:rowOff>371907</xdr:rowOff>
    </xdr:from>
    <xdr:to>
      <xdr:col>8</xdr:col>
      <xdr:colOff>1030941</xdr:colOff>
      <xdr:row>19</xdr:row>
      <xdr:rowOff>150807</xdr:rowOff>
    </xdr:to>
    <xdr:sp macro="" textlink="">
      <xdr:nvSpPr>
        <xdr:cNvPr id="7" name="Rechteck: abgerundete Ecken 6">
          <a:extLst>
            <a:ext uri="{FF2B5EF4-FFF2-40B4-BE49-F238E27FC236}">
              <a16:creationId xmlns:a16="http://schemas.microsoft.com/office/drawing/2014/main" id="{88997ED5-82E1-4CC5-BCC8-B563D3D83B43}"/>
            </a:ext>
          </a:extLst>
        </xdr:cNvPr>
        <xdr:cNvSpPr/>
      </xdr:nvSpPr>
      <xdr:spPr>
        <a:xfrm>
          <a:off x="1508599" y="7117848"/>
          <a:ext cx="7982783" cy="921900"/>
        </a:xfrm>
        <a:prstGeom prst="roundRect">
          <a:avLst>
            <a:gd name="adj" fmla="val 9474"/>
          </a:avLst>
        </a:prstGeom>
        <a:solidFill>
          <a:srgbClr val="104F2D"/>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b="1" i="0">
              <a:solidFill>
                <a:schemeClr val="lt1"/>
              </a:solidFill>
              <a:effectLst/>
              <a:latin typeface="+mn-lt"/>
              <a:ea typeface="+mn-ea"/>
              <a:cs typeface="+mn-cs"/>
            </a:rPr>
            <a:t>Hinweis</a:t>
          </a:r>
          <a:r>
            <a:rPr lang="de-DE" sz="1100" b="0" i="0">
              <a:solidFill>
                <a:schemeClr val="lt1"/>
              </a:solidFill>
              <a:effectLst/>
              <a:latin typeface="+mn-lt"/>
              <a:ea typeface="+mn-ea"/>
              <a:cs typeface="+mn-cs"/>
            </a:rPr>
            <a:t>:</a:t>
          </a:r>
          <a:r>
            <a:rPr lang="de-DE" sz="1100" b="0" i="0" baseline="0">
              <a:solidFill>
                <a:schemeClr val="lt1"/>
              </a:solidFill>
              <a:effectLst/>
              <a:latin typeface="+mn-lt"/>
              <a:ea typeface="+mn-ea"/>
              <a:cs typeface="+mn-cs"/>
            </a:rPr>
            <a:t> Die Maßnahmen im Klimaschutzplan können nicht immer eindeutig einem bestimmten Handlungsfeld zugeordnet werden. Vielmehr können bestimmte Maßnahmen zu mehreren Handlungsfeldern passen, da es inhaltliche Überschneidungen gibt. Bitte entscheiden Sie selbst, welches Handlungfeld am besten zur jeweiligen Maßnahme passt. Geben Sie jede Maßnahme aber nur einmal im Klimaschutzplan an. </a:t>
          </a:r>
          <a:endParaRPr lang="de-DE" sz="1100"/>
        </a:p>
      </xdr:txBody>
    </xdr:sp>
    <xdr:clientData/>
  </xdr:twoCellAnchor>
  <xdr:twoCellAnchor editAs="oneCell">
    <xdr:from>
      <xdr:col>0</xdr:col>
      <xdr:colOff>286240</xdr:colOff>
      <xdr:row>16</xdr:row>
      <xdr:rowOff>333726</xdr:rowOff>
    </xdr:from>
    <xdr:to>
      <xdr:col>1</xdr:col>
      <xdr:colOff>966494</xdr:colOff>
      <xdr:row>19</xdr:row>
      <xdr:rowOff>178414</xdr:rowOff>
    </xdr:to>
    <xdr:pic>
      <xdr:nvPicPr>
        <xdr:cNvPr id="8" name="Grafik 7">
          <a:extLst>
            <a:ext uri="{FF2B5EF4-FFF2-40B4-BE49-F238E27FC236}">
              <a16:creationId xmlns:a16="http://schemas.microsoft.com/office/drawing/2014/main" id="{56A11468-E751-416A-83B6-18ACDCB3FB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20918923">
          <a:off x="286240" y="7079667"/>
          <a:ext cx="994019" cy="987688"/>
        </a:xfrm>
        <a:prstGeom prst="rect">
          <a:avLst/>
        </a:prstGeom>
      </xdr:spPr>
    </xdr:pic>
    <xdr:clientData/>
  </xdr:twoCellAnchor>
  <xdr:twoCellAnchor editAs="oneCell">
    <xdr:from>
      <xdr:col>0</xdr:col>
      <xdr:colOff>7327</xdr:colOff>
      <xdr:row>0</xdr:row>
      <xdr:rowOff>57021</xdr:rowOff>
    </xdr:from>
    <xdr:to>
      <xdr:col>1</xdr:col>
      <xdr:colOff>409138</xdr:colOff>
      <xdr:row>4</xdr:row>
      <xdr:rowOff>14476</xdr:rowOff>
    </xdr:to>
    <xdr:pic>
      <xdr:nvPicPr>
        <xdr:cNvPr id="2" name="Grafik 1">
          <a:extLst>
            <a:ext uri="{FF2B5EF4-FFF2-40B4-BE49-F238E27FC236}">
              <a16:creationId xmlns:a16="http://schemas.microsoft.com/office/drawing/2014/main" id="{35DA9031-2090-6E65-FE28-0483D18D080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327" y="57021"/>
          <a:ext cx="719455" cy="7194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111964</xdr:colOff>
      <xdr:row>0</xdr:row>
      <xdr:rowOff>89499</xdr:rowOff>
    </xdr:from>
    <xdr:to>
      <xdr:col>1</xdr:col>
      <xdr:colOff>356186</xdr:colOff>
      <xdr:row>3</xdr:row>
      <xdr:rowOff>151599</xdr:rowOff>
    </xdr:to>
    <xdr:pic>
      <xdr:nvPicPr>
        <xdr:cNvPr id="2" name="Grafik 1">
          <a:extLst>
            <a:ext uri="{FF2B5EF4-FFF2-40B4-BE49-F238E27FC236}">
              <a16:creationId xmlns:a16="http://schemas.microsoft.com/office/drawing/2014/main" id="{1505ED9D-5214-45FD-B2D5-ACBDC79099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1964" y="89499"/>
          <a:ext cx="637311" cy="633600"/>
        </a:xfrm>
        <a:prstGeom prst="rect">
          <a:avLst/>
        </a:prstGeom>
      </xdr:spPr>
    </xdr:pic>
    <xdr:clientData/>
  </xdr:twoCellAnchor>
  <xdr:twoCellAnchor>
    <xdr:from>
      <xdr:col>1</xdr:col>
      <xdr:colOff>482414</xdr:colOff>
      <xdr:row>1</xdr:row>
      <xdr:rowOff>62594</xdr:rowOff>
    </xdr:from>
    <xdr:to>
      <xdr:col>7</xdr:col>
      <xdr:colOff>0</xdr:colOff>
      <xdr:row>3</xdr:row>
      <xdr:rowOff>4964</xdr:rowOff>
    </xdr:to>
    <xdr:sp macro="" textlink="">
      <xdr:nvSpPr>
        <xdr:cNvPr id="3" name="Textfeld 2">
          <a:extLst>
            <a:ext uri="{FF2B5EF4-FFF2-40B4-BE49-F238E27FC236}">
              <a16:creationId xmlns:a16="http://schemas.microsoft.com/office/drawing/2014/main" id="{954B54C1-75CD-4990-A05F-E32E3DEF5662}"/>
            </a:ext>
          </a:extLst>
        </xdr:cNvPr>
        <xdr:cNvSpPr txBox="1"/>
      </xdr:nvSpPr>
      <xdr:spPr>
        <a:xfrm>
          <a:off x="853889" y="253094"/>
          <a:ext cx="6741058" cy="323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Handlungsfeld Kompensation</a:t>
          </a:r>
          <a:r>
            <a:rPr lang="de-DE" sz="1600" baseline="0"/>
            <a:t> (freiwilliges Handlungsfeld)</a:t>
          </a:r>
        </a:p>
      </xdr:txBody>
    </xdr:sp>
    <xdr:clientData/>
  </xdr:twoCellAnchor>
  <xdr:twoCellAnchor>
    <xdr:from>
      <xdr:col>2</xdr:col>
      <xdr:colOff>138336</xdr:colOff>
      <xdr:row>5</xdr:row>
      <xdr:rowOff>77970</xdr:rowOff>
    </xdr:from>
    <xdr:to>
      <xdr:col>8</xdr:col>
      <xdr:colOff>885825</xdr:colOff>
      <xdr:row>13</xdr:row>
      <xdr:rowOff>111226</xdr:rowOff>
    </xdr:to>
    <xdr:sp macro="" textlink="">
      <xdr:nvSpPr>
        <xdr:cNvPr id="7" name="Rechteck: abgerundete Ecken 6">
          <a:extLst>
            <a:ext uri="{FF2B5EF4-FFF2-40B4-BE49-F238E27FC236}">
              <a16:creationId xmlns:a16="http://schemas.microsoft.com/office/drawing/2014/main" id="{52D9E004-1FC9-44D9-8110-BC3D5C45ED74}"/>
            </a:ext>
          </a:extLst>
        </xdr:cNvPr>
        <xdr:cNvSpPr/>
      </xdr:nvSpPr>
      <xdr:spPr>
        <a:xfrm>
          <a:off x="1897660" y="1030470"/>
          <a:ext cx="7448606" cy="1557256"/>
        </a:xfrm>
        <a:prstGeom prst="roundRect">
          <a:avLst>
            <a:gd name="adj" fmla="val 3638"/>
          </a:avLst>
        </a:prstGeom>
        <a:solidFill>
          <a:srgbClr val="508DC3"/>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de-DE" sz="1100">
              <a:solidFill>
                <a:schemeClr val="lt1"/>
              </a:solidFill>
              <a:effectLst/>
              <a:latin typeface="+mn-lt"/>
              <a:ea typeface="+mn-ea"/>
              <a:cs typeface="+mn-cs"/>
            </a:rPr>
            <a:t>Im Handlungsfeld</a:t>
          </a:r>
          <a:r>
            <a:rPr lang="de-DE" sz="1100" baseline="0">
              <a:solidFill>
                <a:schemeClr val="lt1"/>
              </a:solidFill>
              <a:effectLst/>
              <a:latin typeface="+mn-lt"/>
              <a:ea typeface="+mn-ea"/>
              <a:cs typeface="+mn-cs"/>
            </a:rPr>
            <a:t> Kompensation sollen nur </a:t>
          </a:r>
          <a:r>
            <a:rPr lang="de-DE" sz="1100" b="1" baseline="0">
              <a:solidFill>
                <a:schemeClr val="lt1"/>
              </a:solidFill>
              <a:effectLst/>
              <a:latin typeface="+mn-lt"/>
              <a:ea typeface="+mn-ea"/>
              <a:cs typeface="+mn-cs"/>
            </a:rPr>
            <a:t>zertifizierte Kompensationsprojekte </a:t>
          </a:r>
          <a:r>
            <a:rPr lang="de-DE" sz="1100" b="0" baseline="0">
              <a:solidFill>
                <a:schemeClr val="lt1"/>
              </a:solidFill>
              <a:effectLst/>
              <a:latin typeface="+mn-lt"/>
              <a:ea typeface="+mn-ea"/>
              <a:cs typeface="+mn-cs"/>
            </a:rPr>
            <a:t>eingetragen werden,</a:t>
          </a:r>
          <a:r>
            <a:rPr lang="de-DE" sz="1100" b="1" baseline="0">
              <a:solidFill>
                <a:schemeClr val="lt1"/>
              </a:solidFill>
              <a:effectLst/>
              <a:latin typeface="+mn-lt"/>
              <a:ea typeface="+mn-ea"/>
              <a:cs typeface="+mn-cs"/>
            </a:rPr>
            <a:t> </a:t>
          </a:r>
          <a:r>
            <a:rPr lang="de-DE" sz="1100" baseline="0">
              <a:solidFill>
                <a:schemeClr val="lt1"/>
              </a:solidFill>
              <a:effectLst/>
              <a:latin typeface="+mn-lt"/>
              <a:ea typeface="+mn-ea"/>
              <a:cs typeface="+mn-cs"/>
            </a:rPr>
            <a:t>die zum Beispiel nach dem Goldstandard oder dem VCS-Standard zertifiziert sind. Hierzu zählen Klimaschutzprojekte, wie z. B. effiziente Kochöfen, der Bau von Biogasanlagen, die Instandsetzung von Brunnen oder die dauerhafte CO</a:t>
          </a:r>
          <a:r>
            <a:rPr lang="de-DE" sz="1100" baseline="-25000">
              <a:solidFill>
                <a:schemeClr val="lt1"/>
              </a:solidFill>
              <a:effectLst/>
              <a:latin typeface="+mn-lt"/>
              <a:ea typeface="+mn-ea"/>
              <a:cs typeface="+mn-cs"/>
            </a:rPr>
            <a:t>2</a:t>
          </a:r>
          <a:r>
            <a:rPr lang="de-DE" sz="1100" baseline="0">
              <a:solidFill>
                <a:schemeClr val="lt1"/>
              </a:solidFill>
              <a:effectLst/>
              <a:latin typeface="+mn-lt"/>
              <a:ea typeface="+mn-ea"/>
              <a:cs typeface="+mn-cs"/>
            </a:rPr>
            <a:t>-Entnahme aus der Luft (z. B. </a:t>
          </a:r>
          <a:r>
            <a:rPr lang="de-DE" sz="1100" b="0">
              <a:solidFill>
                <a:schemeClr val="lt1"/>
              </a:solidFill>
              <a:effectLst/>
              <a:latin typeface="+mn-lt"/>
              <a:ea typeface="+mn-ea"/>
              <a:cs typeface="+mn-cs"/>
            </a:rPr>
            <a:t>Direct Air Capture and Carbon Storage (DACCS))</a:t>
          </a:r>
          <a:r>
            <a:rPr lang="de-DE" sz="1100" b="0" baseline="0">
              <a:solidFill>
                <a:schemeClr val="lt1"/>
              </a:solidFill>
              <a:effectLst/>
              <a:latin typeface="+mn-lt"/>
              <a:ea typeface="+mn-ea"/>
              <a:cs typeface="+mn-cs"/>
            </a:rPr>
            <a:t>. Die geplanten Kompensationsmengen werden im CO</a:t>
          </a:r>
          <a:r>
            <a:rPr lang="de-DE" sz="1100" b="0" baseline="-25000">
              <a:solidFill>
                <a:schemeClr val="lt1"/>
              </a:solidFill>
              <a:effectLst/>
              <a:latin typeface="+mn-lt"/>
              <a:ea typeface="+mn-ea"/>
              <a:cs typeface="+mn-cs"/>
            </a:rPr>
            <a:t>2</a:t>
          </a:r>
          <a:r>
            <a:rPr lang="de-DE" sz="1100" b="0" baseline="0">
              <a:solidFill>
                <a:schemeClr val="lt1"/>
              </a:solidFill>
              <a:effectLst/>
              <a:latin typeface="+mn-lt"/>
              <a:ea typeface="+mn-ea"/>
              <a:cs typeface="+mn-cs"/>
            </a:rPr>
            <a:t>-Reduktionspfad berücksichtigt. </a:t>
          </a:r>
        </a:p>
        <a:p>
          <a:r>
            <a:rPr lang="de-DE" sz="1100" b="0" baseline="0">
              <a:solidFill>
                <a:schemeClr val="lt1"/>
              </a:solidFill>
              <a:effectLst/>
              <a:latin typeface="+mn-lt"/>
              <a:ea typeface="+mn-ea"/>
              <a:cs typeface="+mn-cs"/>
            </a:rPr>
            <a:t>Bei der Kompensation von Treibhausgasen gilt es jedoch unbedingt den Dreiklang "Vermeiden - Reduzieren - Kompensieren" zu berücksichtigen. D. h. der Schwerpunkt der Klimaschutzbemühungen sollte immer auf der Vermeidung und Reduzierung von Treibhausgasemissionen liegen. Erst im letzten Schritt sollten nichtvermeidbare Treibhausgase durch zertifizierte Klimaschutzprojekte ausgeglichen werden.  </a:t>
          </a:r>
        </a:p>
        <a:p>
          <a:endParaRPr lang="de-DE" sz="1100" b="0" baseline="0">
            <a:solidFill>
              <a:schemeClr val="lt1"/>
            </a:solidFill>
            <a:effectLst/>
            <a:latin typeface="+mn-lt"/>
            <a:ea typeface="+mn-ea"/>
            <a:cs typeface="+mn-cs"/>
          </a:endParaRPr>
        </a:p>
        <a:p>
          <a:endParaRPr lang="de-DE" sz="1100" baseline="0">
            <a:solidFill>
              <a:schemeClr val="lt1"/>
            </a:solidFill>
            <a:effectLst/>
            <a:latin typeface="+mn-lt"/>
            <a:ea typeface="+mn-ea"/>
            <a:cs typeface="+mn-cs"/>
          </a:endParaRPr>
        </a:p>
        <a:p>
          <a:r>
            <a:rPr lang="de-DE" sz="1100" baseline="0">
              <a:solidFill>
                <a:schemeClr val="lt1"/>
              </a:solidFill>
              <a:effectLst/>
              <a:latin typeface="+mn-lt"/>
              <a:ea typeface="+mn-ea"/>
              <a:cs typeface="+mn-cs"/>
            </a:rPr>
            <a:t> </a:t>
          </a:r>
        </a:p>
        <a:p>
          <a:endParaRPr lang="de-DE">
            <a:effectLst/>
          </a:endParaRPr>
        </a:p>
      </xdr:txBody>
    </xdr:sp>
    <xdr:clientData/>
  </xdr:twoCellAnchor>
  <xdr:twoCellAnchor editAs="oneCell">
    <xdr:from>
      <xdr:col>0</xdr:col>
      <xdr:colOff>250676</xdr:colOff>
      <xdr:row>6</xdr:row>
      <xdr:rowOff>116044</xdr:rowOff>
    </xdr:from>
    <xdr:to>
      <xdr:col>1</xdr:col>
      <xdr:colOff>854273</xdr:colOff>
      <xdr:row>11</xdr:row>
      <xdr:rowOff>151232</xdr:rowOff>
    </xdr:to>
    <xdr:pic>
      <xdr:nvPicPr>
        <xdr:cNvPr id="10" name="Grafik 9">
          <a:extLst>
            <a:ext uri="{FF2B5EF4-FFF2-40B4-BE49-F238E27FC236}">
              <a16:creationId xmlns:a16="http://schemas.microsoft.com/office/drawing/2014/main" id="{58D6BA24-275D-4BFF-8D9B-6AACAB49E90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20918923">
          <a:off x="250676" y="1259044"/>
          <a:ext cx="991491" cy="98768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515398</xdr:colOff>
      <xdr:row>16</xdr:row>
      <xdr:rowOff>412948</xdr:rowOff>
    </xdr:from>
    <xdr:to>
      <xdr:col>1</xdr:col>
      <xdr:colOff>1296144</xdr:colOff>
      <xdr:row>18</xdr:row>
      <xdr:rowOff>77495</xdr:rowOff>
    </xdr:to>
    <xdr:pic>
      <xdr:nvPicPr>
        <xdr:cNvPr id="8" name="Grafik 7">
          <a:extLst>
            <a:ext uri="{FF2B5EF4-FFF2-40B4-BE49-F238E27FC236}">
              <a16:creationId xmlns:a16="http://schemas.microsoft.com/office/drawing/2014/main" id="{D1D3B85E-CCB4-919C-89EF-773A1A23A28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61762" y="6266493"/>
          <a:ext cx="780746" cy="842184"/>
        </a:xfrm>
        <a:prstGeom prst="rect">
          <a:avLst/>
        </a:prstGeom>
      </xdr:spPr>
    </xdr:pic>
    <xdr:clientData/>
  </xdr:twoCellAnchor>
  <xdr:twoCellAnchor editAs="oneCell">
    <xdr:from>
      <xdr:col>1</xdr:col>
      <xdr:colOff>569536</xdr:colOff>
      <xdr:row>14</xdr:row>
      <xdr:rowOff>167361</xdr:rowOff>
    </xdr:from>
    <xdr:to>
      <xdr:col>1</xdr:col>
      <xdr:colOff>1341462</xdr:colOff>
      <xdr:row>15</xdr:row>
      <xdr:rowOff>705243</xdr:rowOff>
    </xdr:to>
    <xdr:pic>
      <xdr:nvPicPr>
        <xdr:cNvPr id="10" name="Grafik 9">
          <a:extLst>
            <a:ext uri="{FF2B5EF4-FFF2-40B4-BE49-F238E27FC236}">
              <a16:creationId xmlns:a16="http://schemas.microsoft.com/office/drawing/2014/main" id="{A8294FDA-141B-B8AC-565B-1314B49BAA5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15900" y="5068406"/>
          <a:ext cx="771926" cy="728382"/>
        </a:xfrm>
        <a:prstGeom prst="rect">
          <a:avLst/>
        </a:prstGeom>
      </xdr:spPr>
    </xdr:pic>
    <xdr:clientData/>
  </xdr:twoCellAnchor>
  <xdr:twoCellAnchor editAs="oneCell">
    <xdr:from>
      <xdr:col>1</xdr:col>
      <xdr:colOff>629032</xdr:colOff>
      <xdr:row>22</xdr:row>
      <xdr:rowOff>85346</xdr:rowOff>
    </xdr:from>
    <xdr:to>
      <xdr:col>1</xdr:col>
      <xdr:colOff>1132085</xdr:colOff>
      <xdr:row>22</xdr:row>
      <xdr:rowOff>561975</xdr:rowOff>
    </xdr:to>
    <xdr:pic>
      <xdr:nvPicPr>
        <xdr:cNvPr id="12" name="Grafik 11">
          <a:extLst>
            <a:ext uri="{FF2B5EF4-FFF2-40B4-BE49-F238E27FC236}">
              <a16:creationId xmlns:a16="http://schemas.microsoft.com/office/drawing/2014/main" id="{B83CEE88-DC36-4EFD-9C85-D35DD853C72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71932" y="8915021"/>
          <a:ext cx="503053" cy="476629"/>
        </a:xfrm>
        <a:prstGeom prst="rect">
          <a:avLst/>
        </a:prstGeom>
      </xdr:spPr>
    </xdr:pic>
    <xdr:clientData/>
  </xdr:twoCellAnchor>
  <xdr:twoCellAnchor editAs="oneCell">
    <xdr:from>
      <xdr:col>1</xdr:col>
      <xdr:colOff>669073</xdr:colOff>
      <xdr:row>24</xdr:row>
      <xdr:rowOff>176945</xdr:rowOff>
    </xdr:from>
    <xdr:to>
      <xdr:col>1</xdr:col>
      <xdr:colOff>1124374</xdr:colOff>
      <xdr:row>25</xdr:row>
      <xdr:rowOff>38101</xdr:rowOff>
    </xdr:to>
    <xdr:pic>
      <xdr:nvPicPr>
        <xdr:cNvPr id="13" name="Grafik 12">
          <a:extLst>
            <a:ext uri="{FF2B5EF4-FFF2-40B4-BE49-F238E27FC236}">
              <a16:creationId xmlns:a16="http://schemas.microsoft.com/office/drawing/2014/main" id="{C1E841C8-B71B-4A9F-97B7-8AB79AB5F8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11973" y="10263920"/>
          <a:ext cx="455301" cy="489806"/>
        </a:xfrm>
        <a:prstGeom prst="rect">
          <a:avLst/>
        </a:prstGeom>
      </xdr:spPr>
    </xdr:pic>
    <xdr:clientData/>
  </xdr:twoCellAnchor>
  <xdr:twoCellAnchor editAs="oneCell">
    <xdr:from>
      <xdr:col>1</xdr:col>
      <xdr:colOff>970111</xdr:colOff>
      <xdr:row>25</xdr:row>
      <xdr:rowOff>177184</xdr:rowOff>
    </xdr:from>
    <xdr:to>
      <xdr:col>1</xdr:col>
      <xdr:colOff>1354356</xdr:colOff>
      <xdr:row>25</xdr:row>
      <xdr:rowOff>590550</xdr:rowOff>
    </xdr:to>
    <xdr:pic>
      <xdr:nvPicPr>
        <xdr:cNvPr id="15" name="Grafik 14">
          <a:extLst>
            <a:ext uri="{FF2B5EF4-FFF2-40B4-BE49-F238E27FC236}">
              <a16:creationId xmlns:a16="http://schemas.microsoft.com/office/drawing/2014/main" id="{8738BCB9-57B8-49F7-889E-AE0CDB94FD5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13011" y="10892809"/>
          <a:ext cx="384245" cy="413366"/>
        </a:xfrm>
        <a:prstGeom prst="rect">
          <a:avLst/>
        </a:prstGeom>
      </xdr:spPr>
    </xdr:pic>
    <xdr:clientData/>
  </xdr:twoCellAnchor>
  <xdr:twoCellAnchor editAs="oneCell">
    <xdr:from>
      <xdr:col>1</xdr:col>
      <xdr:colOff>292753</xdr:colOff>
      <xdr:row>25</xdr:row>
      <xdr:rowOff>215799</xdr:rowOff>
    </xdr:from>
    <xdr:to>
      <xdr:col>1</xdr:col>
      <xdr:colOff>774756</xdr:colOff>
      <xdr:row>25</xdr:row>
      <xdr:rowOff>590550</xdr:rowOff>
    </xdr:to>
    <xdr:pic>
      <xdr:nvPicPr>
        <xdr:cNvPr id="18" name="Grafik 17">
          <a:extLst>
            <a:ext uri="{FF2B5EF4-FFF2-40B4-BE49-F238E27FC236}">
              <a16:creationId xmlns:a16="http://schemas.microsoft.com/office/drawing/2014/main" id="{CD0CF64B-588F-4DA0-94FA-5D78CF0A8F8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35653" y="10931424"/>
          <a:ext cx="482003" cy="374751"/>
        </a:xfrm>
        <a:prstGeom prst="rect">
          <a:avLst/>
        </a:prstGeom>
      </xdr:spPr>
    </xdr:pic>
    <xdr:clientData/>
  </xdr:twoCellAnchor>
  <xdr:twoCellAnchor editAs="oneCell">
    <xdr:from>
      <xdr:col>1</xdr:col>
      <xdr:colOff>621733</xdr:colOff>
      <xdr:row>23</xdr:row>
      <xdr:rowOff>176967</xdr:rowOff>
    </xdr:from>
    <xdr:to>
      <xdr:col>1</xdr:col>
      <xdr:colOff>1162051</xdr:colOff>
      <xdr:row>23</xdr:row>
      <xdr:rowOff>597057</xdr:rowOff>
    </xdr:to>
    <xdr:pic>
      <xdr:nvPicPr>
        <xdr:cNvPr id="19" name="Grafik 18">
          <a:extLst>
            <a:ext uri="{FF2B5EF4-FFF2-40B4-BE49-F238E27FC236}">
              <a16:creationId xmlns:a16="http://schemas.microsoft.com/office/drawing/2014/main" id="{EC5DBEDD-E798-4153-BA90-0F71F88450C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964633" y="9635292"/>
          <a:ext cx="540318" cy="420090"/>
        </a:xfrm>
        <a:prstGeom prst="rect">
          <a:avLst/>
        </a:prstGeom>
      </xdr:spPr>
    </xdr:pic>
    <xdr:clientData/>
  </xdr:twoCellAnchor>
  <xdr:twoCellAnchor>
    <xdr:from>
      <xdr:col>1</xdr:col>
      <xdr:colOff>706237</xdr:colOff>
      <xdr:row>25</xdr:row>
      <xdr:rowOff>613460</xdr:rowOff>
    </xdr:from>
    <xdr:to>
      <xdr:col>1</xdr:col>
      <xdr:colOff>1106366</xdr:colOff>
      <xdr:row>25</xdr:row>
      <xdr:rowOff>929565</xdr:rowOff>
    </xdr:to>
    <xdr:sp macro="" textlink="">
      <xdr:nvSpPr>
        <xdr:cNvPr id="21" name="Textfeld 20">
          <a:extLst>
            <a:ext uri="{FF2B5EF4-FFF2-40B4-BE49-F238E27FC236}">
              <a16:creationId xmlns:a16="http://schemas.microsoft.com/office/drawing/2014/main" id="{B8D4FDD9-1BF5-4E17-AD6C-C4E4AF171570}"/>
            </a:ext>
          </a:extLst>
        </xdr:cNvPr>
        <xdr:cNvSpPr txBox="1"/>
      </xdr:nvSpPr>
      <xdr:spPr>
        <a:xfrm>
          <a:off x="706237" y="11567210"/>
          <a:ext cx="400129" cy="3161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mit </a:t>
          </a:r>
        </a:p>
      </xdr:txBody>
    </xdr:sp>
    <xdr:clientData/>
  </xdr:twoCellAnchor>
  <xdr:twoCellAnchor>
    <xdr:from>
      <xdr:col>14</xdr:col>
      <xdr:colOff>665111</xdr:colOff>
      <xdr:row>20</xdr:row>
      <xdr:rowOff>64434</xdr:rowOff>
    </xdr:from>
    <xdr:to>
      <xdr:col>18</xdr:col>
      <xdr:colOff>2756646</xdr:colOff>
      <xdr:row>25</xdr:row>
      <xdr:rowOff>569698</xdr:rowOff>
    </xdr:to>
    <xdr:sp macro="" textlink="">
      <xdr:nvSpPr>
        <xdr:cNvPr id="22" name="Rechteck 21">
          <a:extLst>
            <a:ext uri="{FF2B5EF4-FFF2-40B4-BE49-F238E27FC236}">
              <a16:creationId xmlns:a16="http://schemas.microsoft.com/office/drawing/2014/main" id="{A0C40778-B68A-F4A3-C149-77FAD7F8F67A}"/>
            </a:ext>
          </a:extLst>
        </xdr:cNvPr>
        <xdr:cNvSpPr/>
      </xdr:nvSpPr>
      <xdr:spPr>
        <a:xfrm>
          <a:off x="12789876" y="8155081"/>
          <a:ext cx="5139535" cy="311623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xdr:col>
      <xdr:colOff>1156607</xdr:colOff>
      <xdr:row>2</xdr:row>
      <xdr:rowOff>299358</xdr:rowOff>
    </xdr:from>
    <xdr:to>
      <xdr:col>6</xdr:col>
      <xdr:colOff>432954</xdr:colOff>
      <xdr:row>4</xdr:row>
      <xdr:rowOff>86591</xdr:rowOff>
    </xdr:to>
    <xdr:sp macro="" textlink="">
      <xdr:nvSpPr>
        <xdr:cNvPr id="23" name="Rechteck: abgerundete Ecken 22">
          <a:extLst>
            <a:ext uri="{FF2B5EF4-FFF2-40B4-BE49-F238E27FC236}">
              <a16:creationId xmlns:a16="http://schemas.microsoft.com/office/drawing/2014/main" id="{CA8D7D31-806C-4E89-A3DD-F214BFF146C0}"/>
            </a:ext>
          </a:extLst>
        </xdr:cNvPr>
        <xdr:cNvSpPr/>
      </xdr:nvSpPr>
      <xdr:spPr>
        <a:xfrm>
          <a:off x="1502971" y="992085"/>
          <a:ext cx="9788483" cy="739733"/>
        </a:xfrm>
        <a:prstGeom prst="roundRect">
          <a:avLst>
            <a:gd name="adj" fmla="val 9474"/>
          </a:avLst>
        </a:prstGeom>
        <a:noFill/>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ctr"/>
          <a:r>
            <a:rPr lang="de-DE" sz="1100">
              <a:solidFill>
                <a:sysClr val="windowText" lastClr="000000"/>
              </a:solidFill>
            </a:rPr>
            <a:t>Schulen, die die Zertifizierungsstufe Klimaschule Gold anstregeben, entwicklen einen CO</a:t>
          </a:r>
          <a:r>
            <a:rPr lang="de-DE" sz="1100" baseline="-25000">
              <a:solidFill>
                <a:sysClr val="windowText" lastClr="000000"/>
              </a:solidFill>
            </a:rPr>
            <a:t>2</a:t>
          </a:r>
          <a:r>
            <a:rPr lang="de-DE" sz="1100">
              <a:solidFill>
                <a:sysClr val="windowText" lastClr="000000"/>
              </a:solidFill>
            </a:rPr>
            <a:t>-Reduktionspfad für die nächsten 10 Jahre, ausgehend von der ersten Treibhausgasbilanz der Schule, entwicklen. Der CO</a:t>
          </a:r>
          <a:r>
            <a:rPr lang="de-DE" sz="1100" baseline="-25000">
              <a:solidFill>
                <a:sysClr val="windowText" lastClr="000000"/>
              </a:solidFill>
            </a:rPr>
            <a:t>2</a:t>
          </a:r>
          <a:r>
            <a:rPr lang="de-DE" sz="1100">
              <a:solidFill>
                <a:sysClr val="windowText" lastClr="000000"/>
              </a:solidFill>
            </a:rPr>
            <a:t>-Reduktionspfad ergibt sich aus den geplanten Klimaschutzmaßnahmen und den damit verbunden CO</a:t>
          </a:r>
          <a:r>
            <a:rPr lang="de-DE" sz="1100" baseline="-25000">
              <a:solidFill>
                <a:sysClr val="windowText" lastClr="000000"/>
              </a:solidFill>
            </a:rPr>
            <a:t>2</a:t>
          </a:r>
          <a:r>
            <a:rPr lang="de-DE" sz="1100">
              <a:solidFill>
                <a:sysClr val="windowText" lastClr="000000"/>
              </a:solidFill>
            </a:rPr>
            <a:t>-Einsparpotentialen, die von Schulen mithilfe des CO</a:t>
          </a:r>
          <a:r>
            <a:rPr lang="de-DE" sz="1100" baseline="-25000">
              <a:solidFill>
                <a:sysClr val="windowText" lastClr="000000"/>
              </a:solidFill>
            </a:rPr>
            <a:t>2</a:t>
          </a:r>
          <a:r>
            <a:rPr lang="de-DE" sz="1100">
              <a:solidFill>
                <a:sysClr val="windowText" lastClr="000000"/>
              </a:solidFill>
            </a:rPr>
            <a:t>-Einsparungsrechner berechnet werden müssen.</a:t>
          </a:r>
        </a:p>
        <a:p>
          <a:pPr fontAlgn="ctr"/>
          <a:endParaRPr lang="de-DE" sz="1100"/>
        </a:p>
      </xdr:txBody>
    </xdr:sp>
    <xdr:clientData/>
  </xdr:twoCellAnchor>
  <xdr:twoCellAnchor editAs="oneCell">
    <xdr:from>
      <xdr:col>1</xdr:col>
      <xdr:colOff>108856</xdr:colOff>
      <xdr:row>2</xdr:row>
      <xdr:rowOff>231321</xdr:rowOff>
    </xdr:from>
    <xdr:to>
      <xdr:col>1</xdr:col>
      <xdr:colOff>891361</xdr:colOff>
      <xdr:row>4</xdr:row>
      <xdr:rowOff>67317</xdr:rowOff>
    </xdr:to>
    <xdr:pic>
      <xdr:nvPicPr>
        <xdr:cNvPr id="24" name="Grafik 23">
          <a:extLst>
            <a:ext uri="{FF2B5EF4-FFF2-40B4-BE49-F238E27FC236}">
              <a16:creationId xmlns:a16="http://schemas.microsoft.com/office/drawing/2014/main" id="{A5C78633-8001-40B2-81FB-C4C5FACAAB5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20918923">
          <a:off x="108856" y="884464"/>
          <a:ext cx="782505" cy="788496"/>
        </a:xfrm>
        <a:prstGeom prst="rect">
          <a:avLst/>
        </a:prstGeom>
      </xdr:spPr>
    </xdr:pic>
    <xdr:clientData/>
  </xdr:twoCellAnchor>
  <xdr:twoCellAnchor editAs="oneCell">
    <xdr:from>
      <xdr:col>7</xdr:col>
      <xdr:colOff>340579</xdr:colOff>
      <xdr:row>15</xdr:row>
      <xdr:rowOff>29733</xdr:rowOff>
    </xdr:from>
    <xdr:to>
      <xdr:col>8</xdr:col>
      <xdr:colOff>458003</xdr:colOff>
      <xdr:row>16</xdr:row>
      <xdr:rowOff>212</xdr:rowOff>
    </xdr:to>
    <xdr:pic>
      <xdr:nvPicPr>
        <xdr:cNvPr id="25" name="Grafik 24">
          <a:extLst>
            <a:ext uri="{FF2B5EF4-FFF2-40B4-BE49-F238E27FC236}">
              <a16:creationId xmlns:a16="http://schemas.microsoft.com/office/drawing/2014/main" id="{EAE1B5B6-D468-434C-90ED-0414E55F550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893904" y="5106558"/>
          <a:ext cx="765124" cy="728382"/>
        </a:xfrm>
        <a:prstGeom prst="rect">
          <a:avLst/>
        </a:prstGeom>
      </xdr:spPr>
    </xdr:pic>
    <xdr:clientData/>
  </xdr:twoCellAnchor>
  <xdr:twoCellAnchor>
    <xdr:from>
      <xdr:col>1</xdr:col>
      <xdr:colOff>806823</xdr:colOff>
      <xdr:row>27</xdr:row>
      <xdr:rowOff>180109</xdr:rowOff>
    </xdr:from>
    <xdr:to>
      <xdr:col>14</xdr:col>
      <xdr:colOff>0</xdr:colOff>
      <xdr:row>54</xdr:row>
      <xdr:rowOff>95250</xdr:rowOff>
    </xdr:to>
    <xdr:graphicFrame macro="">
      <xdr:nvGraphicFramePr>
        <xdr:cNvPr id="4" name="Diagramm 3">
          <a:extLst>
            <a:ext uri="{FF2B5EF4-FFF2-40B4-BE49-F238E27FC236}">
              <a16:creationId xmlns:a16="http://schemas.microsoft.com/office/drawing/2014/main" id="{158C59CD-EF60-47A9-8C9B-15B0B880C7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783029</xdr:colOff>
      <xdr:row>56</xdr:row>
      <xdr:rowOff>78862</xdr:rowOff>
    </xdr:from>
    <xdr:to>
      <xdr:col>13</xdr:col>
      <xdr:colOff>595313</xdr:colOff>
      <xdr:row>82</xdr:row>
      <xdr:rowOff>142875</xdr:rowOff>
    </xdr:to>
    <xdr:graphicFrame macro="">
      <xdr:nvGraphicFramePr>
        <xdr:cNvPr id="5" name="Diagramm 4">
          <a:extLst>
            <a:ext uri="{FF2B5EF4-FFF2-40B4-BE49-F238E27FC236}">
              <a16:creationId xmlns:a16="http://schemas.microsoft.com/office/drawing/2014/main" id="{C1D694B4-AA91-4F99-AEA0-63F42C9B7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15</xdr:col>
      <xdr:colOff>750792</xdr:colOff>
      <xdr:row>1</xdr:row>
      <xdr:rowOff>358589</xdr:rowOff>
    </xdr:from>
    <xdr:to>
      <xdr:col>17</xdr:col>
      <xdr:colOff>324970</xdr:colOff>
      <xdr:row>15</xdr:row>
      <xdr:rowOff>515471</xdr:rowOff>
    </xdr:to>
    <xdr:sp macro="" textlink="">
      <xdr:nvSpPr>
        <xdr:cNvPr id="7" name="Pfeil: nach unten 6">
          <a:extLst>
            <a:ext uri="{FF2B5EF4-FFF2-40B4-BE49-F238E27FC236}">
              <a16:creationId xmlns:a16="http://schemas.microsoft.com/office/drawing/2014/main" id="{CFBB17AA-E8FC-3F35-C3DD-19C99D5D7DAB}"/>
            </a:ext>
          </a:extLst>
        </xdr:cNvPr>
        <xdr:cNvSpPr/>
      </xdr:nvSpPr>
      <xdr:spPr>
        <a:xfrm>
          <a:off x="13637557" y="549089"/>
          <a:ext cx="1098178" cy="503144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de-DE" sz="2400" kern="1200"/>
            <a:t>Bitte ganz</a:t>
          </a:r>
          <a:r>
            <a:rPr lang="de-DE" sz="2400" kern="1200" baseline="0"/>
            <a:t> nach utnen scrollen</a:t>
          </a:r>
          <a:endParaRPr lang="de-DE" sz="2400" kern="12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5</xdr:row>
      <xdr:rowOff>128587</xdr:rowOff>
    </xdr:from>
    <xdr:to>
      <xdr:col>11</xdr:col>
      <xdr:colOff>244506</xdr:colOff>
      <xdr:row>45</xdr:row>
      <xdr:rowOff>19049</xdr:rowOff>
    </xdr:to>
    <xdr:pic>
      <xdr:nvPicPr>
        <xdr:cNvPr id="3" name="Grafik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848" b="26421"/>
        <a:stretch/>
      </xdr:blipFill>
      <xdr:spPr>
        <a:xfrm>
          <a:off x="0" y="1081087"/>
          <a:ext cx="8335153" cy="7510462"/>
        </a:xfrm>
        <a:prstGeom prst="rect">
          <a:avLst/>
        </a:prstGeom>
      </xdr:spPr>
    </xdr:pic>
    <xdr:clientData/>
  </xdr:twoCellAnchor>
  <xdr:twoCellAnchor editAs="oneCell">
    <xdr:from>
      <xdr:col>7</xdr:col>
      <xdr:colOff>457200</xdr:colOff>
      <xdr:row>1</xdr:row>
      <xdr:rowOff>38100</xdr:rowOff>
    </xdr:from>
    <xdr:to>
      <xdr:col>11</xdr:col>
      <xdr:colOff>2957</xdr:colOff>
      <xdr:row>4</xdr:row>
      <xdr:rowOff>63291</xdr:rowOff>
    </xdr:to>
    <xdr:pic>
      <xdr:nvPicPr>
        <xdr:cNvPr id="4" name="Grafik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91200" y="228600"/>
          <a:ext cx="2593757" cy="8656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nnat/AppData/Local/Packages/5319275A.WhatsAppDesktop_cv1g1gvanyjgm/LocalState/sessions/4E470517A99ADD9AC5C10BC721AFCFF4C0E6B622/transfers/2025-47/Planungstabellen_inkl._CO2-Einsparungsrechner.xlsx" TargetMode="External"/><Relationship Id="rId2" Type="http://schemas.openxmlformats.org/officeDocument/2006/relationships/externalLinkPath" Target="file:///C:\Users\annat\AppData\Local\Packages\5319275A.WhatsAppDesktop_cv1g1gvanyjgm\LocalState\sessions\4E470517A99ADD9AC5C10BC721AFCFF4C0E6B622\transfers\2025-47\Planungstabellen_inkl._CO2-Einsparungsrechner.xlsx" TargetMode="External"/><Relationship Id="rId1" Type="http://schemas.openxmlformats.org/officeDocument/2006/relationships/externalLinkPath" Target="/Users/annat/AppData/Local/Packages/5319275A.WhatsAppDesktop_cv1g1gvanyjgm/LocalState/sessions/4E470517A99ADD9AC5C10BC721AFCFF4C0E6B622/transfers/2025-47/Planungstabellen_inkl._CO2-Einsparungsrech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Überblick"/>
      <sheetName val="CO2-Reduktionspfad_alt"/>
      <sheetName val="Abfall"/>
      <sheetName val="Ernährung"/>
      <sheetName val="Kommunikation"/>
      <sheetName val="Mobilität"/>
      <sheetName val="Faktoren"/>
      <sheetName val="Strom"/>
      <sheetName val="Quellen"/>
      <sheetName val="Wärme"/>
      <sheetName val="17 SDGs"/>
      <sheetName val="CO2-Reduktionspfad"/>
      <sheetName val="FAQ"/>
      <sheetName val="Anleitung"/>
      <sheetName val="Übersicht Emissionsfaktoren"/>
      <sheetName val="Schlüsselprojekt"/>
      <sheetName val="Status"/>
    </sheetNames>
    <sheetDataSet>
      <sheetData sheetId="0" refreshError="1"/>
      <sheetData sheetId="1" refreshError="1"/>
      <sheetData sheetId="2" refreshError="1"/>
      <sheetData sheetId="3" refreshError="1"/>
      <sheetData sheetId="4" refreshError="1"/>
      <sheetData sheetId="5" refreshError="1"/>
      <sheetData sheetId="6" refreshError="1">
        <row r="4">
          <cell r="E4">
            <v>2.1294</v>
          </cell>
        </row>
        <row r="5">
          <cell r="E5">
            <v>21.294</v>
          </cell>
        </row>
        <row r="6">
          <cell r="E6">
            <v>4.2587999999999999</v>
          </cell>
        </row>
        <row r="7">
          <cell r="E7">
            <v>21.294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87AA28-74E8-4202-BB33-1CF6A4D67BFE}" name="Tabelle33" displayName="Tabelle33" ref="B24:M28" headerRowCount="0" totalsRowShown="0" headerRowDxfId="188" dataDxfId="187">
  <tableColumns count="12">
    <tableColumn id="1" xr3:uid="{FF5E99ED-A11A-47DE-B722-15B349ED7496}" name="Kalenderjahr" headerRowDxfId="186" dataDxfId="185"/>
    <tableColumn id="2" xr3:uid="{0B4730E4-090B-44FB-A611-97CC387CE651}" name="0" headerRowDxfId="184" dataDxfId="183"/>
    <tableColumn id="3" xr3:uid="{4E6CE480-97DF-4106-A923-63B928E24032}" name="2023" headerRowDxfId="182" dataDxfId="181"/>
    <tableColumn id="4" xr3:uid="{63A8E325-2CB3-41F6-91C0-1F51413D6594}" name="2024" headerRowDxfId="180" dataDxfId="179">
      <calculatedColumnFormula>C24-(0.2*C1)</calculatedColumnFormula>
    </tableColumn>
    <tableColumn id="5" xr3:uid="{01C2CC3A-0ED3-46FD-9BD5-EC7BD7362F4C}" name="2025" headerRowDxfId="178" dataDxfId="177">
      <calculatedColumnFormula>F23-(0.1*C16)</calculatedColumnFormula>
    </tableColumn>
    <tableColumn id="6" xr3:uid="{5F346898-CD53-4837-8BF2-FBB354F44E5F}" name="2026" headerRowDxfId="176" dataDxfId="175">
      <calculatedColumnFormula>C24-(0.4*C1)</calculatedColumnFormula>
    </tableColumn>
    <tableColumn id="7" xr3:uid="{FA36CF52-F643-420F-8818-55D8F0901168}" name="2027" headerRowDxfId="174" dataDxfId="173">
      <calculatedColumnFormula>C24-(0.5*C1)</calculatedColumnFormula>
    </tableColumn>
    <tableColumn id="8" xr3:uid="{23907072-99D3-49E9-B974-BB7EA28774A9}" name="2028" headerRowDxfId="172" dataDxfId="171">
      <calculatedColumnFormula>C24-(0.6*C1)</calculatedColumnFormula>
    </tableColumn>
    <tableColumn id="9" xr3:uid="{D4DC1AD6-E601-4762-80C5-1D897F08813A}" name="2029" headerRowDxfId="170" dataDxfId="169">
      <calculatedColumnFormula>C24-(0.7*C1)</calculatedColumnFormula>
    </tableColumn>
    <tableColumn id="10" xr3:uid="{FFC0F7D7-1F88-4DF9-949B-38DE918F973F}" name="2030" headerRowDxfId="168" dataDxfId="167">
      <calculatedColumnFormula>C24-(0.8*C1)</calculatedColumnFormula>
    </tableColumn>
    <tableColumn id="11" xr3:uid="{41E0EA06-20CE-4B51-8E22-DC900CF784EB}" name="2031" headerRowDxfId="166" dataDxfId="165">
      <calculatedColumnFormula>C1-(0.09*M24)</calculatedColumnFormula>
    </tableColumn>
    <tableColumn id="12" xr3:uid="{C607545C-4627-4737-8956-6412ED27E797}" name="2032" headerRowDxfId="164" dataDxfId="163">
      <calculatedColumnFormula>C1</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DC4C40-66BE-4B59-A25D-328CAFAD3105}" name="Tabelle1" displayName="Tabelle1" ref="B3:F164" totalsRowShown="0" headerRowDxfId="162">
  <autoFilter ref="B3:F164" xr:uid="{F7DC4C40-66BE-4B59-A25D-328CAFAD3105}"/>
  <tableColumns count="5">
    <tableColumn id="1" xr3:uid="{E220D1D0-13AB-42D1-9E01-035A186436E6}" name="Sektor"/>
    <tableColumn id="2" xr3:uid="{53080947-8389-4DE6-A75D-D50B002D0D86}" name="Maßnahme"/>
    <tableColumn id="3" xr3:uid="{DAF0DFCB-91DB-4B26-9767-412852740D15}" name="Einheit"/>
    <tableColumn id="4" xr3:uid="{7DC57015-A086-4D25-8BF9-DBFFC54F26BA}" name="Einsparungsfaktor pro Einheit"/>
    <tableColumn id="5" xr3:uid="{D9B21E9F-6B1B-4F0C-B7C5-80514C88BDF3}" name="Quell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56651EC-7E43-4D59-A3E1-21FF0F8FD34C}" name="Tabelle4" displayName="Tabelle4" ref="N18:Q27" totalsRowShown="0" headerRowDxfId="161" dataDxfId="160">
  <autoFilter ref="N18:Q27" xr:uid="{B56651EC-7E43-4D59-A3E1-21FF0F8FD34C}">
    <filterColumn colId="0" hiddenButton="1"/>
    <filterColumn colId="1" hiddenButton="1"/>
    <filterColumn colId="2" hiddenButton="1"/>
    <filterColumn colId="3" hiddenButton="1"/>
  </autoFilter>
  <tableColumns count="4">
    <tableColumn id="1" xr3:uid="{BF73B497-C6B3-472C-9240-8073099CF265}" name="Energieträger" dataDxfId="159"/>
    <tableColumn id="4" xr3:uid="{B484387A-72DB-4EB6-8E02-496575C833D5}" name="Spalte1" dataDxfId="158"/>
    <tableColumn id="2" xr3:uid="{E1EA6F08-276B-47A4-ABA1-F902977DE85A}" name="Energieträgerverbrauch (Endenergie)" dataDxfId="157"/>
    <tableColumn id="3" xr3:uid="{C9BDE939-BA0C-429D-A067-99183208C0DE}" name="Nutzenergie in kWh " dataDxfId="156"/>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8840600-0E0C-4B43-AF89-CD9E5A5514DE}" name="Tabelle336" displayName="Tabelle336" ref="C24:N26" headerRowCount="0" totalsRowShown="0" headerRowDxfId="155" dataDxfId="154">
  <tableColumns count="12">
    <tableColumn id="1" xr3:uid="{41B6AD54-0600-4FC8-9B1D-2ECFCE833930}" name="Kalenderjahr" headerRowDxfId="153" dataDxfId="152"/>
    <tableColumn id="2" xr3:uid="{9649188C-CB0E-41DA-A957-A694C7F42796}" name="0" headerRowDxfId="151" dataDxfId="150"/>
    <tableColumn id="3" xr3:uid="{47A6B218-4756-4D7E-9E07-1E66368A3289}" name="2023" headerRowDxfId="149" dataDxfId="148"/>
    <tableColumn id="4" xr3:uid="{1007B82E-8D95-4497-A22B-AF238096FB78}" name="2024" headerRowDxfId="147" dataDxfId="146">
      <calculatedColumnFormula>D24-(0.2*D1)</calculatedColumnFormula>
    </tableColumn>
    <tableColumn id="5" xr3:uid="{1BFD05F9-AE93-4086-A635-D39ECBB36EB8}" name="2025" headerRowDxfId="145" dataDxfId="144">
      <calculatedColumnFormula>G22-(0.1*E16)</calculatedColumnFormula>
    </tableColumn>
    <tableColumn id="6" xr3:uid="{1302A294-A0CD-4AC2-B5E4-CD7F0209EB9C}" name="2026" headerRowDxfId="143" dataDxfId="142">
      <calculatedColumnFormula>D24-(0.4*D1)</calculatedColumnFormula>
    </tableColumn>
    <tableColumn id="7" xr3:uid="{E56A30A5-DBBA-41CA-8109-DFC9A441D78E}" name="2027" headerRowDxfId="141" dataDxfId="140">
      <calculatedColumnFormula>D24-(0.5*D1)</calculatedColumnFormula>
    </tableColumn>
    <tableColumn id="8" xr3:uid="{3EC82E6F-2A26-4E16-858D-FB4A6B78C1BF}" name="2028" headerRowDxfId="139" dataDxfId="138">
      <calculatedColumnFormula>D24-(0.6*D1)</calculatedColumnFormula>
    </tableColumn>
    <tableColumn id="9" xr3:uid="{9B71358D-E61C-40C2-92C8-F7D4BED749DD}" name="2029" headerRowDxfId="137" dataDxfId="136">
      <calculatedColumnFormula>D24-(0.7*D1)</calculatedColumnFormula>
    </tableColumn>
    <tableColumn id="10" xr3:uid="{0B096AEE-9306-4779-BFC8-6B401DEEB6CA}" name="2030" headerRowDxfId="135" dataDxfId="134">
      <calculatedColumnFormula>D24-(0.8*D1)</calculatedColumnFormula>
    </tableColumn>
    <tableColumn id="11" xr3:uid="{651FEDDF-DD17-4763-9CB6-518C4EBDEC3C}" name="2031" headerRowDxfId="133" dataDxfId="132">
      <calculatedColumnFormula>D1-(0.09*N24)</calculatedColumnFormula>
    </tableColumn>
    <tableColumn id="12" xr3:uid="{A7515079-DDD7-4B67-8078-140EBBAB8B3E}" name="2032" headerRowDxfId="131" dataDxfId="130">
      <calculatedColumnFormula>D1</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klimaschule.bayern.de/klimaschutzplan/" TargetMode="External"/></Relationships>
</file>

<file path=xl/worksheets/_rels/sheet19.xml.rels><?xml version="1.0" encoding="UTF-8" standalone="yes"?>
<Relationships xmlns="http://schemas.openxmlformats.org/package/2006/relationships"><Relationship Id="rId13" Type="http://schemas.openxmlformats.org/officeDocument/2006/relationships/hyperlink" Target="https://www.ifeu.de/fileadmin/uploads/Reinhardt-Gaertner-Wagner-2020-Oekologische-Fu%C3%9Fabdruecke-von-Lebensmitteln-und-Gerichten-in-Deutschland-ifeu-2020.pdf" TargetMode="External"/><Relationship Id="rId18" Type="http://schemas.openxmlformats.org/officeDocument/2006/relationships/hyperlink" Target="https://www.statistik-bw.de/DatenMelden/Formularservice/33_A_Umrechnungsfaktoren.pdf" TargetMode="External"/><Relationship Id="rId26" Type="http://schemas.openxmlformats.org/officeDocument/2006/relationships/hyperlink" Target="https://www.bafa.de/SharedDocs/Downloads/DE/Energie/eew_infoblatt_co2_faktoren_2021.pdf?__blob=publicationFile&amp;v=5" TargetMode="External"/><Relationship Id="rId39" Type="http://schemas.openxmlformats.org/officeDocument/2006/relationships/hyperlink" Target="https://www.google.com/url?sa=t&amp;rct=j&amp;q=&amp;esrc=s&amp;source=web&amp;cd=&amp;ved=2ahUKEwiiztSCwOv3AhWLQvEDHfovCI8QFnoECAYQAQ&amp;url=https%3A%2F%2Fwww.umweltbundesamt.de%2Fsites%2Fdefault%2Ffiles%2Fmedien%2Fpublikation%2Flong%2F3476.pdf&amp;usg=AOvVaw0sMFtTuiahaNbZKRRCthDo" TargetMode="External"/><Relationship Id="rId21" Type="http://schemas.openxmlformats.org/officeDocument/2006/relationships/hyperlink" Target="https://www.umweltbundesamt.de/sites/default/files/medien/1410/publikationen/2021-12-13_climate-change_71-2021_emissionsbilanz_erneuerbarer_energien_2020.pdf" TargetMode="External"/><Relationship Id="rId34" Type="http://schemas.openxmlformats.org/officeDocument/2006/relationships/hyperlink" Target="https://www.gov.uk/government/publications/greenhouse-gas-reporting-conversion-factors-2021" TargetMode="External"/><Relationship Id="rId42" Type="http://schemas.openxmlformats.org/officeDocument/2006/relationships/hyperlink" Target="https://www.geg-info.de/geg/anlage_09_umrechnung_in_treibhausgasemissionen.htm" TargetMode="External"/><Relationship Id="rId47" Type="http://schemas.openxmlformats.org/officeDocument/2006/relationships/hyperlink" Target="https://www.gov.uk/government/publications/greenhouse-gas-reporting-conversion-factors-2021" TargetMode="External"/><Relationship Id="rId50" Type="http://schemas.openxmlformats.org/officeDocument/2006/relationships/hyperlink" Target="https://www.gov.uk/government/publications/greenhouse-gas-reporting-conversion-factors-2021" TargetMode="External"/><Relationship Id="rId55" Type="http://schemas.openxmlformats.org/officeDocument/2006/relationships/hyperlink" Target="https://www.gov.uk/government/publications/greenhouse-gas-reporting-conversion-factors-2021" TargetMode="External"/><Relationship Id="rId7" Type="http://schemas.openxmlformats.org/officeDocument/2006/relationships/hyperlink" Target="https://www.ifeu.de/fileadmin/uploads/Reinhardt-Gaertner-Wagner-2020-Oekologische-Fu%C3%9Fabdruecke-von-Lebensmitteln-und-Gerichten-in-Deutschland-ifeu-2020.pdf" TargetMode="External"/><Relationship Id="rId2" Type="http://schemas.openxmlformats.org/officeDocument/2006/relationships/hyperlink" Target="https://www.ifeu.de/fileadmin/uploads/Reinhardt-Gaertner-Wagner-2020-Oekologische-Fu%C3%9Fabdruecke-von-Lebensmitteln-und-Gerichten-in-Deutschland-ifeu-2020.pdf" TargetMode="External"/><Relationship Id="rId16" Type="http://schemas.openxmlformats.org/officeDocument/2006/relationships/hyperlink" Target="https://www.epowers.org/elektro-scooter/co2-bilanz/" TargetMode="External"/><Relationship Id="rId29" Type="http://schemas.openxmlformats.org/officeDocument/2006/relationships/hyperlink" Target="https://www.gov.uk/government/publications/greenhouse-gas-reporting-conversion-factors-2021" TargetMode="External"/><Relationship Id="rId11" Type="http://schemas.openxmlformats.org/officeDocument/2006/relationships/hyperlink" Target="https://www.ifeu.de/fileadmin/uploads/Reinhardt-Gaertner-Wagner-2020-Oekologische-Fu%C3%9Fabdruecke-von-Lebensmitteln-und-Gerichten-in-Deutschland-ifeu-2020.pdf" TargetMode="External"/><Relationship Id="rId24" Type="http://schemas.openxmlformats.org/officeDocument/2006/relationships/hyperlink" Target="https://www.bafa.de/SharedDocs/Downloads/DE/Energie/eew_infoblatt_co2_faktoren_2021.pdf?__blob=publicationFile&amp;v=5" TargetMode="External"/><Relationship Id="rId32" Type="http://schemas.openxmlformats.org/officeDocument/2006/relationships/hyperlink" Target="https://www.gov.uk/government/publications/greenhouse-gas-reporting-conversion-factors-2021" TargetMode="External"/><Relationship Id="rId37" Type="http://schemas.openxmlformats.org/officeDocument/2006/relationships/hyperlink" Target="https://www.bafa.de/SharedDocs/Downloads/DE/Energie/eew_infoblatt_co2_faktoren_2021.pdf?__blob=publicationFile&amp;v=5" TargetMode="External"/><Relationship Id="rId40" Type="http://schemas.openxmlformats.org/officeDocument/2006/relationships/hyperlink" Target="https://www.google.com/url?sa=t&amp;rct=j&amp;q=&amp;esrc=s&amp;source=web&amp;cd=&amp;ved=2ahUKEwiiztSCwOv3AhWLQvEDHfovCI8QFnoECAYQAQ&amp;url=https%3A%2F%2Fwww.umweltbundesamt.de%2Fsites%2Fdefault%2Ffiles%2Fmedien%2Fpublikation%2Flong%2F3476.pdf&amp;usg=AOvVaw0sMFtTuiahaNbZKRRCthDo" TargetMode="External"/><Relationship Id="rId45" Type="http://schemas.openxmlformats.org/officeDocument/2006/relationships/hyperlink" Target="https://www.gov.uk/government/publications/greenhouse-gas-reporting-conversion-factors-2021" TargetMode="External"/><Relationship Id="rId53" Type="http://schemas.openxmlformats.org/officeDocument/2006/relationships/hyperlink" Target="https://www.umweltbundesamt.de/themen/verkehr-laerm/emissionsdaten" TargetMode="External"/><Relationship Id="rId58" Type="http://schemas.openxmlformats.org/officeDocument/2006/relationships/hyperlink" Target="https://www.lwf.bayern.de/mam/cms04/service/dateien/mb-12-energiegehalt-holz.pdf" TargetMode="External"/><Relationship Id="rId5" Type="http://schemas.openxmlformats.org/officeDocument/2006/relationships/hyperlink" Target="https://www.ifeu.de/fileadmin/uploads/Reinhardt-Gaertner-Wagner-2020-Oekologische-Fu%C3%9Fabdruecke-von-Lebensmitteln-und-Gerichten-in-Deutschland-ifeu-2020.pdf" TargetMode="External"/><Relationship Id="rId61" Type="http://schemas.openxmlformats.org/officeDocument/2006/relationships/hyperlink" Target="https://www.lwf.bayern.de/mam/cms04/service/dateien/mb-12-energiegehalt-holz.pdf" TargetMode="External"/><Relationship Id="rId19" Type="http://schemas.openxmlformats.org/officeDocument/2006/relationships/hyperlink" Target="https://www.umweltbundesamt.de/sites/default/files/medien/1410/publikationen/2021-12-13_climate-change_71-2021_emissionsbilanz_erneuerbarer_energien_2020.pdf" TargetMode="External"/><Relationship Id="rId14" Type="http://schemas.openxmlformats.org/officeDocument/2006/relationships/hyperlink" Target="https://www.umweltbundesamt.de/themen/verkehr-laerm/emissionsdaten" TargetMode="External"/><Relationship Id="rId22" Type="http://schemas.openxmlformats.org/officeDocument/2006/relationships/hyperlink" Target="https://www.bafa.de/SharedDocs/Downloads/DE/Energie/eew_infoblatt_co2_faktoren_2021.pdf?__blob=publicationFile&amp;v=5" TargetMode="External"/><Relationship Id="rId27" Type="http://schemas.openxmlformats.org/officeDocument/2006/relationships/hyperlink" Target="https://www.bafa.de/SharedDocs/Downloads/DE/Energie/eew_infoblatt_co2_faktoren_2021.pdf?__blob=publicationFile&amp;v=5" TargetMode="External"/><Relationship Id="rId30" Type="http://schemas.openxmlformats.org/officeDocument/2006/relationships/hyperlink" Target="https://www.ifeu.de/fileadmin/uploads/Reinhardt-Gaertner-Wagner-2020-Oekologische-Fu%C3%9Fabdruecke-von-Lebensmitteln-und-Gerichten-in-Deutschland-ifeu-2020.pdf" TargetMode="External"/><Relationship Id="rId35" Type="http://schemas.openxmlformats.org/officeDocument/2006/relationships/hyperlink" Target="https://www.statistik-bw.de/DatenMelden/Formularservice/33_A_Umrechnungsfaktoren.pdf" TargetMode="External"/><Relationship Id="rId43" Type="http://schemas.openxmlformats.org/officeDocument/2006/relationships/hyperlink" Target="https://www.gov.uk/government/publications/greenhouse-gas-reporting-conversion-factors-2021" TargetMode="External"/><Relationship Id="rId48" Type="http://schemas.openxmlformats.org/officeDocument/2006/relationships/hyperlink" Target="https://www.gov.uk/government/publications/greenhouse-gas-reporting-conversion-factors-2021" TargetMode="External"/><Relationship Id="rId56" Type="http://schemas.openxmlformats.org/officeDocument/2006/relationships/hyperlink" Target="https://www.gov.uk/government/publications/greenhouse-gas-reporting-conversion-factors-2021" TargetMode="External"/><Relationship Id="rId8" Type="http://schemas.openxmlformats.org/officeDocument/2006/relationships/hyperlink" Target="https://www.ifeu.de/fileadmin/uploads/Reinhardt-Gaertner-Wagner-2020-Oekologische-Fu%C3%9Fabdruecke-von-Lebensmitteln-und-Gerichten-in-Deutschland-ifeu-2020.pdf" TargetMode="External"/><Relationship Id="rId51" Type="http://schemas.openxmlformats.org/officeDocument/2006/relationships/hyperlink" Target="https://www.gov.uk/government/publications/greenhouse-gas-reporting-conversion-factors-2021" TargetMode="External"/><Relationship Id="rId3" Type="http://schemas.openxmlformats.org/officeDocument/2006/relationships/hyperlink" Target="https://www.ifeu.de/fileadmin/uploads/Reinhardt-Gaertner-Wagner-2020-Oekologische-Fu%C3%9Fabdruecke-von-Lebensmitteln-und-Gerichten-in-Deutschland-ifeu-2020.pdf" TargetMode="External"/><Relationship Id="rId12" Type="http://schemas.openxmlformats.org/officeDocument/2006/relationships/hyperlink" Target="https://www.ifeu.de/fileadmin/uploads/Reinhardt-Gaertner-Wagner-2020-Oekologische-Fu%C3%9Fabdruecke-von-Lebensmitteln-und-Gerichten-in-Deutschland-ifeu-2020.pdf" TargetMode="External"/><Relationship Id="rId17" Type="http://schemas.openxmlformats.org/officeDocument/2006/relationships/hyperlink" Target="https://www.epowers.org/elektro-scooter/co2-bilanz/" TargetMode="External"/><Relationship Id="rId25" Type="http://schemas.openxmlformats.org/officeDocument/2006/relationships/hyperlink" Target="https://www.bafa.de/SharedDocs/Downloads/DE/Energie/eew_infoblatt_co2_faktoren_2021.pdf?__blob=publicationFile&amp;v=5" TargetMode="External"/><Relationship Id="rId33" Type="http://schemas.openxmlformats.org/officeDocument/2006/relationships/hyperlink" Target="https://www.bafa.de/SharedDocs/Downloads/DE/Energie/eew_infoblatt_co2_faktoren_2021.pdf?__blob=publicationFile&amp;v=5" TargetMode="External"/><Relationship Id="rId38" Type="http://schemas.openxmlformats.org/officeDocument/2006/relationships/hyperlink" Target="https://www.google.com/url?sa=t&amp;rct=j&amp;q=&amp;esrc=s&amp;source=web&amp;cd=&amp;ved=2ahUKEwiiztSCwOv3AhWLQvEDHfovCI8QFnoECAYQAQ&amp;url=https%3A%2F%2Fwww.umweltbundesamt.de%2Fsites%2Fdefault%2Ffiles%2Fmedien%2Fpublikation%2Flong%2F3476.pdf&amp;usg=AOvVaw0sMFtTuiahaNbZKRRCthDo" TargetMode="External"/><Relationship Id="rId46" Type="http://schemas.openxmlformats.org/officeDocument/2006/relationships/hyperlink" Target="https://www.gov.uk/government/publications/greenhouse-gas-reporting-conversion-factors-2021" TargetMode="External"/><Relationship Id="rId59" Type="http://schemas.openxmlformats.org/officeDocument/2006/relationships/hyperlink" Target="https://www.lwf.bayern.de/mam/cms04/service/dateien/mb-12-energiegehalt-holz.pdf" TargetMode="External"/><Relationship Id="rId20" Type="http://schemas.openxmlformats.org/officeDocument/2006/relationships/hyperlink" Target="https://www.umweltbundesamt.de/sites/default/files/medien/1410/publikationen/2021-12-13_climate-change_71-2021_emissionsbilanz_erneuerbarer_energien_2020.pdf" TargetMode="External"/><Relationship Id="rId41" Type="http://schemas.openxmlformats.org/officeDocument/2006/relationships/hyperlink" Target="https://www.google.com/url?sa=t&amp;rct=j&amp;q=&amp;esrc=s&amp;source=web&amp;cd=&amp;ved=2ahUKEwiiztSCwOv3AhWLQvEDHfovCI8QFnoECAYQAQ&amp;url=https%3A%2F%2Fwww.umweltbundesamt.de%2Fsites%2Fdefault%2Ffiles%2Fmedien%2Fpublikation%2Flong%2F3476.pdf&amp;usg=AOvVaw0sMFtTuiahaNbZKRRCthDo" TargetMode="External"/><Relationship Id="rId54" Type="http://schemas.openxmlformats.org/officeDocument/2006/relationships/hyperlink" Target="https://www.gov.uk/government/publications/greenhouse-gas-reporting-conversion-factors-2021" TargetMode="External"/><Relationship Id="rId62" Type="http://schemas.openxmlformats.org/officeDocument/2006/relationships/printerSettings" Target="../printerSettings/printerSettings16.bin"/><Relationship Id="rId1" Type="http://schemas.openxmlformats.org/officeDocument/2006/relationships/hyperlink" Target="https://www.ifeu.de/fileadmin/uploads/Reinhardt-Gaertner-Wagner-2020-Oekologische-Fu%C3%9Fabdruecke-von-Lebensmitteln-und-Gerichten-in-Deutschland-ifeu-2020.pdf" TargetMode="External"/><Relationship Id="rId6" Type="http://schemas.openxmlformats.org/officeDocument/2006/relationships/hyperlink" Target="https://www.ifeu.de/fileadmin/uploads/Reinhardt-Gaertner-Wagner-2020-Oekologische-Fu%C3%9Fabdruecke-von-Lebensmitteln-und-Gerichten-in-Deutschland-ifeu-2020.pdf" TargetMode="External"/><Relationship Id="rId15" Type="http://schemas.openxmlformats.org/officeDocument/2006/relationships/hyperlink" Target="https://www.umweltbundesamt.de/themen/klima-energie/energieversorgung/strom-waermeversorgung-in-zahlen?sprungmarke=Strommix" TargetMode="External"/><Relationship Id="rId23" Type="http://schemas.openxmlformats.org/officeDocument/2006/relationships/hyperlink" Target="https://www.bafa.de/SharedDocs/Downloads/DE/Energie/eew_infoblatt_co2_faktoren_2021.pdf?__blob=publicationFile&amp;v=5" TargetMode="External"/><Relationship Id="rId28" Type="http://schemas.openxmlformats.org/officeDocument/2006/relationships/hyperlink" Target="https://www.umweltbundesamt.de/themen/klima-energie/energieversorgung/strom-waermeversorgung-in-zahlen?sprungmarke=Strommix" TargetMode="External"/><Relationship Id="rId36" Type="http://schemas.openxmlformats.org/officeDocument/2006/relationships/hyperlink" Target="https://www.bafa.de/SharedDocs/Downloads/DE/Energie/eew_infoblatt_co2_faktoren_2021.pdf?__blob=publicationFile&amp;v=5" TargetMode="External"/><Relationship Id="rId49" Type="http://schemas.openxmlformats.org/officeDocument/2006/relationships/hyperlink" Target="https://www.gov.uk/government/publications/greenhouse-gas-reporting-conversion-factors-2021" TargetMode="External"/><Relationship Id="rId57" Type="http://schemas.openxmlformats.org/officeDocument/2006/relationships/hyperlink" Target="https://www.umweltbundesamt.de/publikationen/emissionsbilanz-erneuerbarer-energietraeger-2020" TargetMode="External"/><Relationship Id="rId10" Type="http://schemas.openxmlformats.org/officeDocument/2006/relationships/hyperlink" Target="https://www.ifeu.de/fileadmin/uploads/Reinhardt-Gaertner-Wagner-2020-Oekologische-Fu%C3%9Fabdruecke-von-Lebensmitteln-und-Gerichten-in-Deutschland-ifeu-2020.pdf" TargetMode="External"/><Relationship Id="rId31" Type="http://schemas.openxmlformats.org/officeDocument/2006/relationships/hyperlink" Target="https://www.ifeu.de/fileadmin/uploads/Reinhardt-Gaertner-Wagner-2020-Oekologische-Fu%C3%9Fabdruecke-von-Lebensmitteln-und-Gerichten-in-Deutschland-ifeu-2020.pdf" TargetMode="External"/><Relationship Id="rId44" Type="http://schemas.openxmlformats.org/officeDocument/2006/relationships/hyperlink" Target="https://www.oeko.de/fileadmin/oekodoc/Digitaler-CO2-Fussabdruck.pdf" TargetMode="External"/><Relationship Id="rId52" Type="http://schemas.openxmlformats.org/officeDocument/2006/relationships/hyperlink" Target="https://www.gov.uk/government/publications/greenhouse-gas-reporting-conversion-factors-2021" TargetMode="External"/><Relationship Id="rId60" Type="http://schemas.openxmlformats.org/officeDocument/2006/relationships/hyperlink" Target="https://www.lwf.bayern.de/mam/cms04/service/dateien/mb-12-energiegehalt-holz.pdf" TargetMode="External"/><Relationship Id="rId4" Type="http://schemas.openxmlformats.org/officeDocument/2006/relationships/hyperlink" Target="https://www.ifeu.de/fileadmin/uploads/Reinhardt-Gaertner-Wagner-2020-Oekologische-Fu%C3%9Fabdruecke-von-Lebensmitteln-und-Gerichten-in-Deutschland-ifeu-2020.pdf" TargetMode="External"/><Relationship Id="rId9" Type="http://schemas.openxmlformats.org/officeDocument/2006/relationships/hyperlink" Target="https://www.ifeu.de/fileadmin/uploads/Reinhardt-Gaertner-Wagner-2020-Oekologische-Fu%C3%9Fabdruecke-von-Lebensmitteln-und-Gerichten-in-Deutschland-ifeu-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L75"/>
  <sheetViews>
    <sheetView showGridLines="0" tabSelected="1" topLeftCell="A19" zoomScale="64" zoomScaleNormal="100" zoomScaleSheetLayoutView="85" workbookViewId="0">
      <selection activeCell="M56" sqref="M56"/>
    </sheetView>
  </sheetViews>
  <sheetFormatPr baseColWidth="10" defaultColWidth="11.42578125" defaultRowHeight="15" x14ac:dyDescent="0.25"/>
  <cols>
    <col min="2" max="2" width="22.28515625" customWidth="1"/>
    <col min="3" max="3" width="23.85546875" customWidth="1"/>
    <col min="4" max="4" width="37.28515625" customWidth="1"/>
    <col min="5" max="5" width="16.140625" customWidth="1"/>
    <col min="6" max="7" width="14.28515625" customWidth="1"/>
    <col min="8" max="8" width="11.5703125" customWidth="1"/>
    <col min="9" max="9" width="14.5703125" customWidth="1"/>
    <col min="10" max="10" width="12.5703125" bestFit="1" customWidth="1"/>
    <col min="11" max="12" width="12.28515625" customWidth="1"/>
  </cols>
  <sheetData>
    <row r="3" spans="2:12" ht="26.25" x14ac:dyDescent="0.4">
      <c r="B3" s="137" t="s">
        <v>0</v>
      </c>
    </row>
    <row r="6" spans="2:12" ht="43.5" customHeight="1" x14ac:dyDescent="0.25">
      <c r="B6" s="282" t="s">
        <v>1</v>
      </c>
      <c r="C6" s="283"/>
      <c r="D6" s="283"/>
      <c r="E6" s="283"/>
      <c r="F6" s="283"/>
      <c r="G6" s="283"/>
      <c r="H6" s="283"/>
      <c r="I6" s="283"/>
      <c r="J6" s="283"/>
      <c r="K6" s="283"/>
      <c r="L6" s="283"/>
    </row>
    <row r="10" spans="2:12" ht="72" customHeight="1" x14ac:dyDescent="0.25">
      <c r="B10" s="280" t="s">
        <v>2</v>
      </c>
      <c r="C10" s="281"/>
      <c r="D10" s="281"/>
      <c r="E10" s="281"/>
      <c r="F10" s="281"/>
      <c r="G10" s="281"/>
      <c r="H10" s="281"/>
      <c r="I10" s="281"/>
      <c r="J10" s="281"/>
      <c r="K10" s="281"/>
      <c r="L10" s="281"/>
    </row>
    <row r="11" spans="2:12" ht="73.5" customHeight="1" x14ac:dyDescent="0.25">
      <c r="B11" s="280" t="s">
        <v>3</v>
      </c>
      <c r="C11" s="280"/>
      <c r="D11" s="280"/>
      <c r="E11" s="280"/>
      <c r="F11" s="280"/>
      <c r="G11" s="280"/>
      <c r="H11" s="280"/>
      <c r="I11" s="280"/>
      <c r="J11" s="280"/>
      <c r="K11" s="280"/>
      <c r="L11" s="280"/>
    </row>
    <row r="12" spans="2:12" ht="27" customHeight="1" x14ac:dyDescent="0.25">
      <c r="B12" s="135" t="s">
        <v>4</v>
      </c>
      <c r="C12" s="108"/>
      <c r="D12" s="108"/>
      <c r="E12" s="108"/>
      <c r="F12" s="108"/>
      <c r="G12" s="108"/>
    </row>
    <row r="13" spans="2:12" ht="33" customHeight="1" x14ac:dyDescent="0.25">
      <c r="B13" s="280" t="s">
        <v>5</v>
      </c>
      <c r="C13" s="281"/>
      <c r="D13" s="281"/>
      <c r="E13" s="281"/>
      <c r="F13" s="281"/>
      <c r="G13" s="281"/>
      <c r="H13" s="281"/>
      <c r="I13" s="281"/>
      <c r="J13" s="281"/>
      <c r="K13" s="281"/>
      <c r="L13" s="281"/>
    </row>
    <row r="14" spans="2:12" ht="15.75" x14ac:dyDescent="0.25">
      <c r="B14" s="77" t="s">
        <v>6</v>
      </c>
      <c r="F14" s="193">
        <v>2025</v>
      </c>
    </row>
    <row r="16" spans="2:12" ht="15.75" x14ac:dyDescent="0.25">
      <c r="B16" s="77" t="s">
        <v>7</v>
      </c>
      <c r="F16" s="193">
        <v>2026</v>
      </c>
    </row>
    <row r="18" spans="2:12" ht="15.75" x14ac:dyDescent="0.25">
      <c r="B18" s="77" t="s">
        <v>8</v>
      </c>
      <c r="F18" s="193"/>
    </row>
    <row r="21" spans="2:12" ht="33" customHeight="1" x14ac:dyDescent="0.25">
      <c r="B21" s="136" t="s">
        <v>9</v>
      </c>
      <c r="C21" s="109"/>
      <c r="D21" s="109"/>
      <c r="E21" s="109"/>
      <c r="F21" s="109"/>
      <c r="G21" s="109"/>
    </row>
    <row r="22" spans="2:12" ht="83.25" customHeight="1" x14ac:dyDescent="0.25">
      <c r="B22" s="280" t="s">
        <v>10</v>
      </c>
      <c r="C22" s="280"/>
      <c r="D22" s="280"/>
      <c r="E22" s="280"/>
      <c r="F22" s="280"/>
      <c r="G22" s="280"/>
      <c r="H22" s="280"/>
      <c r="I22" s="280"/>
      <c r="J22" s="280"/>
      <c r="K22" s="280"/>
      <c r="L22" s="109"/>
    </row>
    <row r="23" spans="2:12" ht="15" customHeight="1" x14ac:dyDescent="0.25">
      <c r="B23" s="113"/>
      <c r="C23" s="113"/>
      <c r="D23" s="113"/>
      <c r="E23" s="113"/>
      <c r="F23" s="113"/>
      <c r="G23" s="113"/>
      <c r="H23" s="113"/>
      <c r="I23" s="113"/>
      <c r="J23" s="113"/>
      <c r="K23" s="113"/>
      <c r="L23" s="109"/>
    </row>
    <row r="24" spans="2:12" ht="32.25" customHeight="1" x14ac:dyDescent="0.25"/>
    <row r="25" spans="2:12" ht="18.75" x14ac:dyDescent="0.3">
      <c r="C25" s="6" t="s">
        <v>11</v>
      </c>
      <c r="D25" s="16"/>
      <c r="E25" s="114">
        <f>COUNTA(Abfall!E8:E13,Einkauf!E8:E13,Ernährung!E11:E15,Kommunikation!E8:E13,Kohlenstoffbindung!E8:E12,Mobilität!E8:E13,Strom!E8:E13,Wärme!E8:E13,'17 SDGs'!E8:E11,'KW-Anpassung'!E8:E12,Kompensation!D19:D28)</f>
        <v>34</v>
      </c>
      <c r="F25" s="7"/>
    </row>
    <row r="26" spans="2:12" ht="18.75" x14ac:dyDescent="0.3">
      <c r="E26" s="8"/>
      <c r="F26" s="7"/>
    </row>
    <row r="27" spans="2:12" ht="18.75" x14ac:dyDescent="0.25">
      <c r="C27" s="17" t="s">
        <v>12</v>
      </c>
      <c r="D27" s="7"/>
      <c r="E27" s="9">
        <f>COUNTIF(Abfall!E8:E13,"umgesetzt")+COUNTIF(Einkauf!E8:E13,"umgesetzt")+COUNTIF(Ernährung!E11:E15,"umgesetzt")+COUNTIF(Kommunikation!E8:E13,"umgesetzt")+COUNTIF(Kohlenstoffbindung!E8:E12,"umgesetzt")+COUNTIF(Mobilität!E8:E13,"umgesetzt")+COUNTIF(Strom!E8:E13,"umgesetzt")+COUNTIF(Wärme!E8:E13,"umgesetzt")+COUNTIF('17 SDGs'!E8:E11,"umgesetzt")+ COUNTIF('KW-Anpassung'!E8:E12,"umgesetzt")+COUNTIF(Kompensation!D19:D28,"umgesetzt")+COUNTIF(Abfall!E8:E13,"wird laufend umgesetzt")+COUNTIF(Einkauf!E8:E13,"wird laufend umgesetzt")+COUNTIF(Ernährung!E11:E15,"wird laufend umgesetzt")+COUNTIF(Kommunikation!E8:E13,"wird laufend umgesetzt")+COUNTIF(Kohlenstoffbindung!E8:E12,"wird laufend umgesetzt")+COUNTIF(Mobilität!E8:E13,"wird laufend umgesetzt")+COUNTIF(Strom!E8:E13,"wird laufend umgesetzt")+COUNTIF(Wärme!E8:E13,"wird laufend umgesetzt")+COUNTIF('17 SDGs'!E8:E11,"wird laufend umgesetzt")+ COUNTIF('KW-Anpassung'!E8:E12,"wird laufend umgesetzt")+COUNTIF(Kompensation!D19:D28,"wird laufend umgesetzt")</f>
        <v>21</v>
      </c>
      <c r="F27" s="7"/>
    </row>
    <row r="28" spans="2:12" ht="21" customHeight="1" x14ac:dyDescent="0.25">
      <c r="C28" s="13"/>
      <c r="D28" s="7"/>
      <c r="E28" s="15"/>
      <c r="F28" s="7"/>
    </row>
    <row r="29" spans="2:12" ht="18.75" x14ac:dyDescent="0.25">
      <c r="C29" s="17" t="s">
        <v>13</v>
      </c>
      <c r="D29" s="7"/>
      <c r="E29" s="10">
        <f>COUNTIF(Abfall!E8:E13,"in Umsetzung (Anfang)")+COUNTIF(Einkauf!E8:E13,"in Umsetzung (Anfang)")+COUNTIF(Ernährung!E11:E15,"in Umsetzung (Anfang)")+COUNTIF(Kommunikation!E8:E13,"in Umsetzung (Anfang)")+COUNTIF(Kohlenstoffbindung!E8:E12,"in Umsetzung (Anfang)")+COUNTIF(Mobilität!E8:E13,"in Umsetzung (Anfang)")+COUNTIF(Strom!E8:E13,"in Umsetzung (Anfang)")+COUNTIF(Wärme!E8:E13,"in Umsetzung (Anfang)")+COUNTIF('17 SDGs'!E8:E11,"in Umsetzung (Anfang)")+ COUNTIF('KW-Anpassung'!E8:E12,"in Umsetzung (Anfang)")+COUNTIF(Kompensation!D19:D28,"in Umsetzung (Anfang)")+COUNTIF(Abfall!E8:E9,"in Umsetzung (Mitte)")+COUNTIF(Einkauf!E8:E13,"in Umsetzung (Mitte)")+COUNTIF(Ernährung!E11:E15,"in Umsetzung (Mitte)")+COUNTIF(Kommunikation!E8:E13,"in Umsetzung (Mitte)")+COUNTIF(Kohlenstoffbindung!E8:E12,"in Umsetzung (Mitte)")+COUNTIF(Mobilität!E8:E13,"in Umsetzung (Mitte)")+COUNTIF(Strom!E8:E13,"in Umsetzung (Mitte)")+COUNTIF(Wärme!E8:E13,"in Umsetzung (Mitte)")+COUNTIF('17 SDGs'!E8:E11,"in Umsetzung (Mitte)")+ COUNTIF('KW-Anpassung'!E8:E12,"in Umsetzung (Mitte)")+COUNTIF(Kompensation!D19:D28,"in Umsetzung (Mitte)")+COUNTIF(Abfall!E8:E13,"in Umsetzung (Ende)")+COUNTIF(Einkauf!E8:E13,"in Umsetzung (Ende)")+COUNTIF(Ernährung!E11:E15,"in Umsetzung (Ende)")+COUNTIF(Kommunikation!E8:E13,"in Umsetzung (Ende)")+COUNTIF(Kohlenstoffbindung!E8:E12,"in Umsetzung (Ende)")+COUNTIF(Mobilität!E8:E13,"in Umsetzung (Ende)")+COUNTIF(Strom!E8:E13,"in Umsetzung (Ende)")+COUNTIF(Wärme!E8:E13,"in Umsetzung (Ende)")+COUNTIF('17 SDGs'!E8:E11,"in Umsetzung (Ende)")+ COUNTIF('KW-Anpassung'!E8:E12,"in Umsetzung (Ende)")+COUNTIF(Kompensation!D19:D28,"in Umsetzung (Ende)")</f>
        <v>7</v>
      </c>
      <c r="F29" s="7"/>
    </row>
    <row r="30" spans="2:12" ht="18" customHeight="1" x14ac:dyDescent="0.25">
      <c r="C30" s="13"/>
      <c r="D30" s="7"/>
      <c r="E30" s="15"/>
      <c r="F30" s="7"/>
    </row>
    <row r="31" spans="2:12" ht="17.25" customHeight="1" x14ac:dyDescent="0.25">
      <c r="C31" s="17" t="s">
        <v>14</v>
      </c>
      <c r="D31" s="7"/>
      <c r="E31" s="11">
        <f>COUNTIF(Abfall!E8:E13,"zukünftiger Termin")+COUNTIF(Einkauf!E8:E13,"zukünftiger Termin")+COUNTIF(Ernährung!E11:E15,"zukünftiger Termin")+COUNTIF(Kommunikation!E8:E13,"zukünftiger Termin")+COUNTIF(Kohlenstoffbindung!E8:E12,"zukünftiger Termin")+COUNTIF(Mobilität!E8:E13,"zukünftiger Termin")+COUNTIF(Strom!E8:E13,"zukünftiger Termin")+COUNTIF(Wärme!E8:E13,"zukünftiger Termin")+COUNTIF('17 SDGs'!E8:E11,"zukünftiger Termin")+ COUNTIF('KW-Anpassung'!E8:E12,"zukünftiger Termin")+COUNTIF(Kompensation!D19:D28,"zukünftiger Termin")</f>
        <v>6</v>
      </c>
    </row>
    <row r="32" spans="2:12" ht="21.75" customHeight="1" x14ac:dyDescent="0.25">
      <c r="C32" s="13"/>
      <c r="D32" s="7"/>
      <c r="E32" s="15"/>
    </row>
    <row r="33" spans="2:12" ht="21.75" customHeight="1" x14ac:dyDescent="0.25">
      <c r="C33" s="17" t="s">
        <v>15</v>
      </c>
      <c r="D33" s="7"/>
      <c r="E33" s="12">
        <f>COUNTIF(Abfall!E8:E13,"bisher nicht umgesetzt")+COUNTIF(Einkauf!E8:E13,"bisher nicht umgesetzt")+COUNTIF(Ernährung!E11:E15,"bisher nicht umgesetzt")+COUNTIF(Kommunikation!E8:E13,"bisher nicht umgesetzt")+COUNTIF(Kohlenstoffbindung!E8:E12,"bisher nicht umgesetzt")+COUNTIF(Mobilität!E8:E13,"bisher nicht umgesetzt")+COUNTIF(Strom!E8:E13,"bisher nicht umgesetzt")+COUNTIF(Wärme!E8:E13,"bisher nicht umgesetzt")+COUNTIF('17 SDGs'!E8:E11,"bisher nicht umgesetzt")+ COUNTIF('KW-Anpassung'!E8:E12,"bisher nicht umgesetzt")+COUNTIF(Kompensation!D19:D28,"bisher nicht umgesetzt")+ COUNTIF(Abfall!E8:E13,"Umsetzung nicht möglich")+COUNTIF(Einkauf!E8:E13,"Umsetzung nicht möglich")+COUNTIF(Ernährung!E11:E15,"Umsetzung nicht möglich")+COUNTIF(Kommunikation!E8:E13,"Umsetzung nicht möglich")+COUNTIF(Kohlenstoffbindung!E8:E12,"Umsetzung nicht möglich")+COUNTIF(Mobilität!E8:E13,"Umsetzung nicht möglich")+COUNTIF(Strom!E8:E13,"Umsetzung nicht möglich")+COUNTIF(Wärme!E8:E13,"Umsetzung nicht möglich")+COUNTIF('17 SDGs'!E8:E11,"Umsetzung nicht möglich")+ COUNTIF('KW-Anpassung'!E8:E12,"Umsetzung nicht möglich")+COUNTIF(Kompensation!D19:D28,"Umsetzung nicht möglich")</f>
        <v>0</v>
      </c>
    </row>
    <row r="37" spans="2:12" ht="45" customHeight="1" x14ac:dyDescent="0.25"/>
    <row r="38" spans="2:12" ht="36" customHeight="1" x14ac:dyDescent="0.25">
      <c r="B38" s="136" t="s">
        <v>16</v>
      </c>
      <c r="C38" s="109"/>
      <c r="D38" s="109"/>
      <c r="E38" s="109"/>
      <c r="F38" s="109"/>
      <c r="G38" s="109"/>
      <c r="L38" s="108"/>
    </row>
    <row r="39" spans="2:12" ht="36.75" customHeight="1" x14ac:dyDescent="0.25">
      <c r="B39" s="280" t="s">
        <v>17</v>
      </c>
      <c r="C39" s="280"/>
      <c r="D39" s="280"/>
      <c r="E39" s="280"/>
      <c r="F39" s="280"/>
      <c r="G39" s="280"/>
      <c r="H39" s="280"/>
      <c r="I39" s="280"/>
      <c r="J39" s="280"/>
      <c r="K39" s="280"/>
      <c r="L39" s="108"/>
    </row>
    <row r="42" spans="2:12" ht="18.75" x14ac:dyDescent="0.3">
      <c r="C42" s="6" t="s">
        <v>11</v>
      </c>
      <c r="D42" s="16"/>
      <c r="E42" s="114">
        <f>COUNTA(Abfall!F8:F13,Einkauf!F8:F13,Ernährung!F11:F15,Kommunikation!F8:F13,Kohlenstoffbindung!F8:F12,Mobilität!F8:F13,Strom!F8:F13,Wärme!F8:F13,'17 SDGs'!F8:F11,'KW-Anpassung'!F8:F12,Kompensation!E19:E28)</f>
        <v>41</v>
      </c>
      <c r="F42" s="7"/>
    </row>
    <row r="43" spans="2:12" ht="18.75" x14ac:dyDescent="0.3">
      <c r="E43" s="8"/>
      <c r="F43" s="7"/>
    </row>
    <row r="44" spans="2:12" ht="18.75" x14ac:dyDescent="0.25">
      <c r="C44" s="17" t="s">
        <v>12</v>
      </c>
      <c r="D44" s="7"/>
      <c r="E44" s="9">
        <f>COUNTIF(Abfall!F8:F13,"umgesetzt")+COUNTIF(Einkauf!F8:F13,"umgesetzt")+COUNTIF(Ernährung!F11:F15,"umgesetzt")+COUNTIF(Kommunikation!F8:F13,"umgesetzt")+COUNTIF(Kohlenstoffbindung!F8:F12,"umgesetzt")+COUNTIF(Mobilität!F8:F13,"umgesetzt")+COUNTIF(Strom!F8:F13,"umgesetzt")+COUNTIF(Wärme!F8:F13,"umgesetzt")+COUNTIF('17 SDGs'!F8:F11,"umgesetzt")+ COUNTIF('KW-Anpassung'!F8:F12,"umgesetzt")+COUNTIF(Kompensation!E19:E28,"umgesetzt")+COUNTIF(Abfall!F8:F13,"wird laufend umgesetzt")+COUNTIF(Einkauf!F8:F13,"wird laufend umgesetzt")+COUNTIF(Ernährung!F11:F15,"wird laufend umgesetzt")+COUNTIF(Kommunikation!F8:F13,"wird laufend umgesetzt")+COUNTIF(Kohlenstoffbindung!F8:F12,"wird laufend umgesetzt")+COUNTIF(Mobilität!F8:F13,"wird laufend umgesetzt")+COUNTIF(Strom!F8:F13,"wird laufend umgesetzt")+COUNTIF(Wärme!F8:F13,"wird laufend umgesetzt")+COUNTIF('17 SDGs'!F8:F11,"wird laufend umgesetzt")+ COUNTIF('KW-Anpassung'!F8:F12,"wird laufend umgesetzt")+COUNTIF(Kompensation!E19:E28,"wird laufend umgesetzt")</f>
        <v>33</v>
      </c>
      <c r="F44" s="7"/>
    </row>
    <row r="45" spans="2:12" ht="18.75" x14ac:dyDescent="0.25">
      <c r="C45" s="13"/>
      <c r="D45" s="7"/>
      <c r="E45" s="15"/>
      <c r="F45" s="7"/>
    </row>
    <row r="46" spans="2:12" ht="18.75" x14ac:dyDescent="0.25">
      <c r="C46" s="17" t="s">
        <v>13</v>
      </c>
      <c r="D46" s="7"/>
      <c r="E46" s="10">
        <f>COUNTIF(Abfall!F8:F13,"in Umsetzung (Anfang)")+COUNTIF(Einkauf!F8:F13,"in Umsetzung (Anfang)")+COUNTIF(Ernährung!F11:F15,"in Umsetzung (Anfang)")+COUNTIF(Kommunikation!F8:F13,"in Umsetzung (Anfang)")+COUNTIF(Kohlenstoffbindung!F8:F12,"in Umsetzung (Anfang)")+COUNTIF(Mobilität!F8:F13,"in Umsetzung (Anfang)")+COUNTIF(Strom!F8:F13,"in Umsetzung (Anfang)")+COUNTIF(Wärme!F8:F13,"in Umsetzung (Anfang)")+COUNTIF('17 SDGs'!F8:F11,"in Umsetzung (Anfang)")+ COUNTIF('KW-Anpassung'!F8:F12,"in Umsetzung (Anfang)")+COUNTIF(Kompensation!E19:E28,"in Umsetzung (Anfang)")+COUNTIF(Abfall!E8:E9,"in Umsetzung (Mitte)")+COUNTIF(Einkauf!F8:F13,"in Umsetzung (Mitte)")+COUNTIF(Ernährung!F11:F15,"in Umsetzung (Mitte)")+COUNTIF(Kommunikation!F8:F13,"in Umsetzung (Mitte)")+COUNTIF(Kohlenstoffbindung!F8:F12,"in Umsetzung (Mitte)")+COUNTIF(Mobilität!F8:F13,"in Umsetzung (Mitte)")+COUNTIF(Strom!F8:F13,"in Umsetzung (Mitte)")+COUNTIF(Wärme!F8:F13,"in Umsetzung (Mitte)")+COUNTIF('17 SDGs'!F8:F11,"in Umsetzung (Mitte)")+ COUNTIF('KW-Anpassung'!F8:F12,"in Umsetzung (Mitte)")+COUNTIF(Kompensation!E19:E28,"in Umsetzung (Mitte)")+COUNTIF(Abfall!F8:F13,"in Umsetzung (Ende)")+COUNTIF(Einkauf!F8:F13,"in Umsetzung (Ende)")+COUNTIF(Ernährung!F11:F15,"in Umsetzung (Ende)")+COUNTIF(Kommunikation!F8:F13,"in Umsetzung (Ende)")+COUNTIF(Kohlenstoffbindung!F8:F12,"in Umsetzung (Ende)")+COUNTIF(Mobilität!F8:F13,"in Umsetzung (Ende)")+COUNTIF(Strom!F8:F13,"in Umsetzung (Ende)")+COUNTIF(Wärme!F8:F13,"in Umsetzung (Ende)")+COUNTIF('17 SDGs'!F8:F11,"in Umsetzung (Ende)")+ COUNTIF('KW-Anpassung'!F8:F12,"in Umsetzung (Ende)")+COUNTIF(Kompensation!E19:E28,"in Umsetzung (Ende)")</f>
        <v>2</v>
      </c>
      <c r="F46" s="7"/>
    </row>
    <row r="47" spans="2:12" ht="18.75" x14ac:dyDescent="0.25">
      <c r="C47" s="13"/>
      <c r="D47" s="7"/>
      <c r="E47" s="15"/>
      <c r="F47" s="7"/>
    </row>
    <row r="48" spans="2:12" ht="18.75" x14ac:dyDescent="0.25">
      <c r="C48" s="17" t="s">
        <v>14</v>
      </c>
      <c r="D48" s="7"/>
      <c r="E48" s="11">
        <f>COUNTIF(Abfall!F8:F13,"zukünftiger Termin")+COUNTIF(Einkauf!F8:F13,"zukünftiger Termin")+COUNTIF(Ernährung!F11:F15,"zukünftiger Termin")+COUNTIF(Kommunikation!F8:F13,"zukünftiger Termin")+COUNTIF(Kohlenstoffbindung!F8:F12,"zukünftiger Termin")+COUNTIF(Mobilität!F8:F13,"zukünftiger Termin")+COUNTIF(Strom!F8:F13,"zukünftiger Termin")+COUNTIF(Wärme!F8:F13,"zukünftiger Termin")+COUNTIF('17 SDGs'!F8:F11,"zukünftiger Termin")+ COUNTIF('KW-Anpassung'!F8:F12,"zukünftiger Termin")+COUNTIF(Kompensation!E19:E28,"zukünftiger Termin")</f>
        <v>5</v>
      </c>
    </row>
    <row r="49" spans="2:11" ht="18.75" x14ac:dyDescent="0.25">
      <c r="C49" s="13"/>
      <c r="D49" s="7"/>
      <c r="E49" s="15"/>
    </row>
    <row r="50" spans="2:11" ht="18.75" x14ac:dyDescent="0.25">
      <c r="C50" s="17" t="s">
        <v>15</v>
      </c>
      <c r="D50" s="7"/>
      <c r="E50" s="12">
        <f>COUNTIF(Abfall!F8:F13,"bisher nicht umgesetzt")+COUNTIF(Einkauf!F8:F13,"bisher nicht umgesetzt")+COUNTIF(Ernährung!F11:F15,"bisher nicht umgesetzt")+COUNTIF(Kommunikation!F8:F13,"bisher nicht umgesetzt")+COUNTIF(Kohlenstoffbindung!F8:F12,"bisher nicht umgesetzt")+COUNTIF(Mobilität!F8:F13,"bisher nicht umgesetzt")+COUNTIF(Strom!F8:F13,"bisher nicht umgesetzt")+COUNTIF(Wärme!F8:F13,"bisher nicht umgesetzt")+COUNTIF('17 SDGs'!F8:F11,"bisher nicht umgesetzt")+ COUNTIF('KW-Anpassung'!F8:F12,"bisher nicht umgesetzt")+COUNTIF(Kompensation!E19:E28,"bisher nicht umgesetzt")+ COUNTIF(Abfall!F8:F13,"Umsetzung nicht möglich")+COUNTIF(Einkauf!F8:F13,"Umsetzung nicht möglich")+COUNTIF(Ernährung!F11:F15,"Umsetzung nicht möglich")+COUNTIF(Kommunikation!F8:F13,"Umsetzung nicht möglich")+COUNTIF(Kohlenstoffbindung!F8:F12,"Umsetzung nicht möglich")+COUNTIF(Mobilität!F8:F13,"Umsetzung nicht möglich")+COUNTIF(Strom!F8:F13,"Umsetzung nicht möglich")+COUNTIF(Wärme!F8:F13,"Umsetzung nicht möglich")+COUNTIF('17 SDGs'!F8:F11,"Umsetzung nicht möglich")+ COUNTIF('KW-Anpassung'!F8:F12,"Umsetzung nicht möglich")+COUNTIF(Kompensation!E19:E28,"Umsetzung nicht möglich")</f>
        <v>0</v>
      </c>
    </row>
    <row r="55" spans="2:11" ht="32.25" customHeight="1" x14ac:dyDescent="0.25"/>
    <row r="56" spans="2:11" ht="29.25" customHeight="1" x14ac:dyDescent="0.25">
      <c r="B56" s="136" t="s">
        <v>18</v>
      </c>
      <c r="C56" s="109"/>
      <c r="D56" s="109"/>
      <c r="E56" s="109"/>
      <c r="F56" s="109"/>
      <c r="G56" s="109"/>
    </row>
    <row r="57" spans="2:11" ht="38.25" customHeight="1" x14ac:dyDescent="0.25">
      <c r="B57" s="280" t="s">
        <v>19</v>
      </c>
      <c r="C57" s="280"/>
      <c r="D57" s="280"/>
      <c r="E57" s="280"/>
      <c r="F57" s="280"/>
      <c r="G57" s="280"/>
      <c r="H57" s="280"/>
      <c r="I57" s="280"/>
      <c r="J57" s="280"/>
      <c r="K57" s="280"/>
    </row>
    <row r="60" spans="2:11" ht="18.75" x14ac:dyDescent="0.3">
      <c r="C60" s="6" t="s">
        <v>11</v>
      </c>
      <c r="D60" s="16"/>
      <c r="E60" s="114">
        <f>COUNTA(Abfall!G8:G13,Einkauf!G8:G13,Ernährung!G11:G15,Kommunikation!G8:G13,Kohlenstoffbindung!G8:G12,Mobilität!G8:G13,Strom!G8:G13,Wärme!G8:G13,'17 SDGs'!G8:G11,'KW-Anpassung'!G8:G12,Kompensation!F19:F28)</f>
        <v>0</v>
      </c>
      <c r="F60" s="7"/>
    </row>
    <row r="61" spans="2:11" ht="18.75" x14ac:dyDescent="0.3">
      <c r="E61" s="8"/>
      <c r="F61" s="7"/>
    </row>
    <row r="62" spans="2:11" ht="18.75" x14ac:dyDescent="0.25">
      <c r="C62" s="17" t="s">
        <v>12</v>
      </c>
      <c r="D62" s="7"/>
      <c r="E62" s="9">
        <f>COUNTIF(Abfall!G8:G13,"umgesetzt")+COUNTIF(Einkauf!G8:G13,"umgesetzt")+COUNTIF(Ernährung!G11:G15,"umgesetzt")+COUNTIF(Kommunikation!G8:G13,"umgesetzt")+COUNTIF(Kohlenstoffbindung!G8:G12,"umgesetzt")+COUNTIF(Mobilität!G8:G13,"umgesetzt")+COUNTIF(Strom!G8:G13,"umgesetzt")+COUNTIF(Wärme!G8:G13,"umgesetzt")+COUNTIF('17 SDGs'!G8:G11,"umgesetzt")+ COUNTIF('KW-Anpassung'!G8:G12,"umgesetzt")+COUNTIF(Kompensation!F19:F28,"umgesetzt")+COUNTIF(Abfall!G8:G13,"wird laufend umgesetzt")+COUNTIF(Einkauf!G8:G13,"wird laufend umgesetzt")+COUNTIF(Ernährung!G11:G15,"wird laufend umgesetzt")+COUNTIF(Kommunikation!G8:G13,"wird laufend umgesetzt")+COUNTIF(Kohlenstoffbindung!G8:G12,"wird laufend umgesetzt")+COUNTIF(Mobilität!G8:G13,"wird laufend umgesetzt")+COUNTIF(Strom!G8:G13,"wird laufend umgesetzt")+COUNTIF(Wärme!G8:G13,"wird laufend umgesetzt")+COUNTIF('17 SDGs'!G8:G11,"wird laufend umgesetzt")+ COUNTIF('KW-Anpassung'!G8:G12,"wird laufend umgesetzt")+COUNTIF(Kompensation!F19:F28,"wird laufend umgesetzt")</f>
        <v>0</v>
      </c>
      <c r="F62" s="7"/>
    </row>
    <row r="63" spans="2:11" ht="18.75" x14ac:dyDescent="0.25">
      <c r="C63" s="13"/>
      <c r="D63" s="7"/>
      <c r="E63" s="15"/>
      <c r="F63" s="7"/>
    </row>
    <row r="64" spans="2:11" ht="18.75" x14ac:dyDescent="0.25">
      <c r="C64" s="17" t="s">
        <v>13</v>
      </c>
      <c r="D64" s="7"/>
      <c r="E64" s="10">
        <f>COUNTIF(Abfall!G8:G13,"in Umsetzung (Anfang)")+COUNTIF(Einkauf!G8:G13,"in Umsetzung (Anfang)")+COUNTIF(Ernährung!G11:G15,"in Umsetzung (Anfang)")+COUNTIF(Kommunikation!G8:G13,"in Umsetzung (Anfang)")+COUNTIF(Kohlenstoffbindung!G8:G12,"in Umsetzung (Anfang)")+COUNTIF(Mobilität!G8:G13,"in Umsetzung (Anfang)")+COUNTIF(Strom!G8:G13,"in Umsetzung (Anfang)")+COUNTIF(Wärme!G8:G13,"in Umsetzung (Anfang)")+COUNTIF('17 SDGs'!G8:G11,"in Umsetzung (Anfang)")+ COUNTIF('KW-Anpassung'!G8:G12,"in Umsetzung (Anfang)")+COUNTIF(Kompensation!F19:F28,"in Umsetzung (Anfang)")+COUNTIF(Abfall!E8:E9,"in Umsetzung (Mitte)")+COUNTIF(Einkauf!G8:G13,"in Umsetzung (Mitte)")+COUNTIF(Ernährung!G11:G15,"in Umsetzung (Mitte)")+COUNTIF(Kommunikation!G8:G13,"in Umsetzung (Mitte)")+COUNTIF(Kohlenstoffbindung!G8:G12,"in Umsetzung (Mitte)")+COUNTIF(Mobilität!G8:G13,"in Umsetzung (Mitte)")+COUNTIF(Strom!G8:G13,"in Umsetzung (Mitte)")+COUNTIF(Wärme!G8:G13,"in Umsetzung (Mitte)")+COUNTIF('17 SDGs'!G8:G11,"in Umsetzung (Mitte)")+ COUNTIF('KW-Anpassung'!G8:G12,"in Umsetzung (Mitte)")+COUNTIF(Kompensation!F19:F28,"in Umsetzung (Mitte)")+COUNTIF(Abfall!G8:G13,"in Umsetzung (Ende)")+COUNTIF(Einkauf!G8:G13,"in Umsetzung (Ende)")+COUNTIF(Ernährung!G11:G15,"in Umsetzung (Ende)")+COUNTIF(Kommunikation!G8:G13,"in Umsetzung (Ende)")+COUNTIF(Kohlenstoffbindung!G8:G12,"in Umsetzung (Ende)")+COUNTIF(Mobilität!G8:G13,"in Umsetzung (Ende)")+COUNTIF(Strom!G8:G13,"in Umsetzung (Ende)")+COUNTIF(Wärme!G8:G13,"in Umsetzung (Ende)")+COUNTIF('17 SDGs'!G8:G11,"in Umsetzung (Ende)")+ COUNTIF('KW-Anpassung'!G8:G12,"in Umsetzung (Ende)")+COUNTIF(Kompensation!F19:F28,"in Umsetzung (Ende)")</f>
        <v>0</v>
      </c>
      <c r="F64" s="7"/>
    </row>
    <row r="65" spans="2:6" ht="18.75" x14ac:dyDescent="0.25">
      <c r="C65" s="13"/>
      <c r="D65" s="7"/>
      <c r="E65" s="15"/>
      <c r="F65" s="7"/>
    </row>
    <row r="66" spans="2:6" ht="18.75" x14ac:dyDescent="0.25">
      <c r="C66" s="17" t="s">
        <v>14</v>
      </c>
      <c r="D66" s="7"/>
      <c r="E66" s="11">
        <f>COUNTIF(Abfall!G8:G13,"zukünftiger Termin")+COUNTIF(Einkauf!G8:G13,"zukünftiger Termin")+COUNTIF(Ernährung!G11:G15,"zukünftiger Termin")+COUNTIF(Kommunikation!G8:G13,"zukünftiger Termin")+COUNTIF(Kohlenstoffbindung!G8:G12,"zukünftiger Termin")+COUNTIF(Mobilität!G8:G13,"zukünftiger Termin")+COUNTIF(Strom!G8:G13,"zukünftiger Termin")+COUNTIF(Wärme!G8:G13,"zukünftiger Termin")+COUNTIF('17 SDGs'!G8:G11,"zukünftiger Termin")+ COUNTIF('KW-Anpassung'!G8:G12,"zukünftiger Termin")+COUNTIF(Kompensation!F19:F28,"zukünftiger Termin")</f>
        <v>0</v>
      </c>
    </row>
    <row r="67" spans="2:6" ht="18.75" x14ac:dyDescent="0.25">
      <c r="C67" s="13"/>
      <c r="D67" s="7"/>
      <c r="E67" s="15"/>
    </row>
    <row r="68" spans="2:6" ht="18.75" x14ac:dyDescent="0.25">
      <c r="C68" s="17" t="s">
        <v>15</v>
      </c>
      <c r="D68" s="7"/>
      <c r="E68" s="12">
        <f>COUNTIF(Abfall!G8:G13,"bisher nicht umgesetzt")+COUNTIF(Einkauf!G8:G13,"bisher nicht umgesetzt")+COUNTIF(Ernährung!G11:G15,"bisher nicht umgesetzt")+COUNTIF(Kommunikation!G8:G13,"bisher nicht umgesetzt")+COUNTIF(Kohlenstoffbindung!G8:G12,"bisher nicht umgesetzt")+COUNTIF(Mobilität!G8:G13,"bisher nicht umgesetzt")+COUNTIF(Strom!G8:G13,"bisher nicht umgesetzt")+COUNTIF(Wärme!G8:G13,"bisher nicht umgesetzt")+COUNTIF('17 SDGs'!G8:G11,"bisher nicht umgesetzt")+ COUNTIF('KW-Anpassung'!G8:G12,"bisher nicht umgesetzt")+COUNTIF(Kompensation!F19:F28,"bisher nicht umgesetzt")+ COUNTIF(Abfall!G8:G13,"Umsetzung nicht möglich")+COUNTIF(Einkauf!G8:G13,"Umsetzung nicht möglich")+COUNTIF(Ernährung!G11:G15,"Umsetzung nicht möglich")+COUNTIF(Kommunikation!G8:G13,"Umsetzung nicht möglich")+COUNTIF(Kohlenstoffbindung!G8:G12,"Umsetzung nicht möglich")+COUNTIF(Mobilität!G8:G13,"Umsetzung nicht möglich")+COUNTIF(Strom!G8:G13,"Umsetzung nicht möglich")+COUNTIF(Wärme!G8:G13,"Umsetzung nicht möglich")+COUNTIF('17 SDGs'!G8:G11,"Umsetzung nicht möglich")+ COUNTIF('KW-Anpassung'!G8:G12,"Umsetzung nicht möglich")+COUNTIF(Kompensation!F19:F28,"Umsetzung nicht möglich")</f>
        <v>0</v>
      </c>
    </row>
    <row r="75" spans="2:6" x14ac:dyDescent="0.25">
      <c r="B75" t="s">
        <v>20</v>
      </c>
    </row>
  </sheetData>
  <sheetProtection selectLockedCells="1"/>
  <mergeCells count="7">
    <mergeCell ref="B57:K57"/>
    <mergeCell ref="B13:L13"/>
    <mergeCell ref="B22:K22"/>
    <mergeCell ref="B39:K39"/>
    <mergeCell ref="B6:L6"/>
    <mergeCell ref="B10:L10"/>
    <mergeCell ref="B11:L11"/>
  </mergeCells>
  <phoneticPr fontId="2" type="noConversion"/>
  <dataValidations count="1">
    <dataValidation type="list" allowBlank="1" showInputMessage="1" showErrorMessage="1" sqref="F16 F18 F14" xr:uid="{156C79AB-CE2F-41A1-A12D-F8E820B39A6B}">
      <formula1>"2022,2023,2024,2025,2026,2027,2028,2029,2030,2031,2032,2033,2034"</formula1>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C9A2-567B-4375-9229-7B05A4F6FDD2}">
  <sheetPr codeName="Tabelle16"/>
  <dimension ref="A2:O29"/>
  <sheetViews>
    <sheetView showGridLines="0" topLeftCell="A20" zoomScale="70" zoomScaleNormal="70" workbookViewId="0">
      <selection activeCell="A24" sqref="A24:A27"/>
    </sheetView>
  </sheetViews>
  <sheetFormatPr baseColWidth="10" defaultColWidth="11.42578125" defaultRowHeight="15" x14ac:dyDescent="0.25"/>
  <cols>
    <col min="1" max="1" width="16.28515625" style="103" customWidth="1"/>
    <col min="2" max="2" width="55" style="103" customWidth="1"/>
    <col min="3" max="13" width="20.7109375" style="103" customWidth="1"/>
    <col min="14" max="16384" width="11.42578125" style="103"/>
  </cols>
  <sheetData>
    <row r="2" spans="1:4" ht="24" x14ac:dyDescent="0.45">
      <c r="A2" s="116" t="s">
        <v>21</v>
      </c>
    </row>
    <row r="4" spans="1:4" x14ac:dyDescent="0.25">
      <c r="A4" s="103" t="s">
        <v>22</v>
      </c>
    </row>
    <row r="5" spans="1:4" ht="37.5" customHeight="1" x14ac:dyDescent="0.25"/>
    <row r="6" spans="1:4" ht="18.75" x14ac:dyDescent="0.3">
      <c r="A6" s="117" t="s">
        <v>23</v>
      </c>
    </row>
    <row r="8" spans="1:4" ht="18.75" x14ac:dyDescent="0.25">
      <c r="A8" s="118" t="s">
        <v>24</v>
      </c>
      <c r="C8" s="284">
        <v>2022</v>
      </c>
      <c r="D8" s="285"/>
    </row>
    <row r="9" spans="1:4" ht="6.75" customHeight="1" x14ac:dyDescent="0.25"/>
    <row r="10" spans="1:4" ht="33" customHeight="1" x14ac:dyDescent="0.25">
      <c r="A10" s="288" t="s">
        <v>25</v>
      </c>
      <c r="B10" s="289"/>
      <c r="C10" s="286">
        <v>415.4</v>
      </c>
      <c r="D10" s="287"/>
    </row>
    <row r="16" spans="1:4" ht="96.4" customHeight="1" x14ac:dyDescent="0.25">
      <c r="B16" s="119" t="s">
        <v>26</v>
      </c>
      <c r="C16" s="120" t="e">
        <f>(Abfall!#REF!+Ernährung!J16+Einkauf!J14+Kohlenstoffbindung!J13+Kommunikation!J22+Mobilität!J17+Strom!J16+Wärme!J15)/1000</f>
        <v>#REF!</v>
      </c>
    </row>
    <row r="17" spans="1:15" ht="52.15" customHeight="1" x14ac:dyDescent="0.25">
      <c r="B17" s="121" t="s">
        <v>27</v>
      </c>
      <c r="C17" s="122" t="e">
        <f>C16/C10</f>
        <v>#REF!</v>
      </c>
      <c r="E17" s="123" t="s">
        <v>28</v>
      </c>
    </row>
    <row r="18" spans="1:15" ht="52.15" customHeight="1" x14ac:dyDescent="0.25">
      <c r="B18" s="121" t="s">
        <v>29</v>
      </c>
      <c r="C18" s="120">
        <f>Kompensation!H29/1000</f>
        <v>0</v>
      </c>
      <c r="E18" s="123"/>
    </row>
    <row r="19" spans="1:15" x14ac:dyDescent="0.25">
      <c r="E19" s="45"/>
    </row>
    <row r="20" spans="1:15" x14ac:dyDescent="0.25">
      <c r="E20" s="45"/>
    </row>
    <row r="21" spans="1:15" x14ac:dyDescent="0.25">
      <c r="E21" s="45"/>
    </row>
    <row r="22" spans="1:15" x14ac:dyDescent="0.25">
      <c r="E22" s="45"/>
    </row>
    <row r="23" spans="1:15" ht="25.15" customHeight="1" x14ac:dyDescent="0.25">
      <c r="B23" s="123"/>
      <c r="C23" s="126" t="str">
        <f>"Startbilanz "&amp;CHAR(10)&amp;C8</f>
        <v>Startbilanz 
2022</v>
      </c>
      <c r="D23" s="126">
        <f>C8+1</f>
        <v>2023</v>
      </c>
      <c r="E23" s="126">
        <f>D23+1</f>
        <v>2024</v>
      </c>
      <c r="F23" s="126">
        <f t="shared" ref="F23:M23" si="0">E23+1</f>
        <v>2025</v>
      </c>
      <c r="G23" s="126">
        <f t="shared" si="0"/>
        <v>2026</v>
      </c>
      <c r="H23" s="126">
        <f t="shared" si="0"/>
        <v>2027</v>
      </c>
      <c r="I23" s="126">
        <f t="shared" si="0"/>
        <v>2028</v>
      </c>
      <c r="J23" s="126">
        <f t="shared" si="0"/>
        <v>2029</v>
      </c>
      <c r="K23" s="126">
        <f t="shared" si="0"/>
        <v>2030</v>
      </c>
      <c r="L23" s="126">
        <f t="shared" si="0"/>
        <v>2031</v>
      </c>
      <c r="M23" s="126">
        <f t="shared" si="0"/>
        <v>2032</v>
      </c>
    </row>
    <row r="24" spans="1:15" ht="75.75" customHeight="1" x14ac:dyDescent="0.25">
      <c r="A24" s="115" t="s">
        <v>30</v>
      </c>
      <c r="B24" s="124" t="s">
        <v>31</v>
      </c>
      <c r="C24" s="120">
        <f>C10</f>
        <v>415.4</v>
      </c>
      <c r="D24" s="125"/>
      <c r="E24" s="125"/>
      <c r="F24" s="125">
        <v>450</v>
      </c>
      <c r="G24" s="125"/>
      <c r="H24" s="125"/>
      <c r="I24" s="125">
        <v>452</v>
      </c>
      <c r="J24" s="125"/>
      <c r="K24" s="125"/>
      <c r="L24" s="125">
        <v>530</v>
      </c>
      <c r="M24" s="125"/>
    </row>
    <row r="25" spans="1:15" ht="76.5" customHeight="1" x14ac:dyDescent="0.25">
      <c r="A25" s="115" t="s">
        <v>32</v>
      </c>
      <c r="B25" s="124" t="s">
        <v>33</v>
      </c>
      <c r="C25" s="125">
        <v>250</v>
      </c>
      <c r="D25" s="125"/>
      <c r="E25" s="125"/>
      <c r="F25" s="125">
        <v>350</v>
      </c>
      <c r="G25" s="125"/>
      <c r="H25" s="125"/>
      <c r="I25" s="125">
        <v>325</v>
      </c>
      <c r="J25" s="125"/>
      <c r="K25" s="125">
        <v>230</v>
      </c>
      <c r="L25" s="125"/>
      <c r="M25" s="125"/>
    </row>
    <row r="26" spans="1:15" ht="63.75" customHeight="1" x14ac:dyDescent="0.25">
      <c r="A26" s="115" t="s">
        <v>34</v>
      </c>
      <c r="B26" s="124" t="s">
        <v>35</v>
      </c>
      <c r="C26" s="125">
        <f>C24</f>
        <v>415.4</v>
      </c>
      <c r="D26" s="125" t="e">
        <f>C26-(0.1*C16)</f>
        <v>#REF!</v>
      </c>
      <c r="E26" s="125" t="e">
        <f>C26-(0.2*C16)</f>
        <v>#REF!</v>
      </c>
      <c r="F26" s="125" t="e">
        <f>C10-(0.3*C16)</f>
        <v>#REF!</v>
      </c>
      <c r="G26" s="125" t="e">
        <f>C26-(0.4*C16)</f>
        <v>#REF!</v>
      </c>
      <c r="H26" s="125" t="e">
        <f>C26-(0.5*C16)</f>
        <v>#REF!</v>
      </c>
      <c r="I26" s="125" t="e">
        <f>C26-(0.6*C16)</f>
        <v>#REF!</v>
      </c>
      <c r="J26" s="125" t="e">
        <f>C26-(0.7*C16)</f>
        <v>#REF!</v>
      </c>
      <c r="K26" s="125" t="e">
        <f>C26-(0.8*C16)</f>
        <v>#REF!</v>
      </c>
      <c r="L26" s="125" t="e">
        <f>C26-(0.9*C16)</f>
        <v>#REF!</v>
      </c>
      <c r="M26" s="125" t="e">
        <f>C26-C16</f>
        <v>#REF!</v>
      </c>
      <c r="O26" s="103" t="s">
        <v>36</v>
      </c>
    </row>
    <row r="27" spans="1:15" ht="51.75" customHeight="1" x14ac:dyDescent="0.25">
      <c r="A27" s="115" t="s">
        <v>37</v>
      </c>
      <c r="B27" s="124" t="s">
        <v>38</v>
      </c>
      <c r="C27" s="125">
        <f>C24</f>
        <v>415.4</v>
      </c>
      <c r="D27" s="125" t="e">
        <f>D26-(0.1*C18)</f>
        <v>#REF!</v>
      </c>
      <c r="E27" s="125" t="e">
        <f>E26-(0.1*C18)</f>
        <v>#REF!</v>
      </c>
      <c r="F27" s="125" t="e">
        <f>F26-C18*0.1</f>
        <v>#REF!</v>
      </c>
      <c r="G27" s="125" t="e">
        <f>G26-(0.1*C18)</f>
        <v>#REF!</v>
      </c>
      <c r="H27" s="125" t="e">
        <f>H26-(0.1*C18)</f>
        <v>#REF!</v>
      </c>
      <c r="I27" s="125" t="e">
        <f>I26-(0.1*C18)</f>
        <v>#REF!</v>
      </c>
      <c r="J27" s="125" t="e">
        <f>J26-(0.1*C18)</f>
        <v>#REF!</v>
      </c>
      <c r="K27" s="125" t="e">
        <f>K26-(0.1*C18)</f>
        <v>#REF!</v>
      </c>
      <c r="L27" s="125" t="e">
        <f>L26-(0.1*C18)</f>
        <v>#REF!</v>
      </c>
      <c r="M27" s="125" t="e">
        <f>M26-(0.1*C18)</f>
        <v>#REF!</v>
      </c>
    </row>
    <row r="28" spans="1:15" ht="54.75" customHeight="1" x14ac:dyDescent="0.25">
      <c r="B28" s="124" t="s">
        <v>38</v>
      </c>
      <c r="C28" s="125">
        <f>C24</f>
        <v>415.4</v>
      </c>
      <c r="D28" s="125" t="e">
        <f>Tabelle33[[#This Row],[0]]-IF(Kompensation!I19='CO2-Reduktionspfad_alt'!C8+1,Kompensation!H19/1000,0)-IF(Kompensation!I20='CO2-Reduktionspfad_alt'!C8+1,Kompensation!H20/1000,0)-IF(Kompensation!I21='CO2-Reduktionspfad_alt'!C8+1,Kompensation!H21/1000,0)-IF(Kompensation!I22='CO2-Reduktionspfad_alt'!C8+1,Kompensation!H22/1000,0)-IF(Kompensation!#REF!='CO2-Reduktionspfad_alt'!C8+1,Kompensation!#REF!/1000,0)-IF(Kompensation!I29='CO2-Reduktionspfad_alt'!C8+1,Kompensation!H29/1000,0)-IF(Kompensation!I30='CO2-Reduktionspfad_alt'!C8+1,Kompensation!H30/1000,0)-IF(Kompensation!#REF!='CO2-Reduktionspfad_alt'!C8+1,Kompensation!#REF!/1000,0)</f>
        <v>#REF!</v>
      </c>
      <c r="E28" s="125" t="e">
        <f>E27-(0.1*C19)</f>
        <v>#REF!</v>
      </c>
      <c r="F28" s="125" t="e">
        <f>F27-C19*0.1</f>
        <v>#REF!</v>
      </c>
      <c r="G28" s="125" t="e">
        <f>G27-(0.1*C19)</f>
        <v>#REF!</v>
      </c>
      <c r="H28" s="125" t="e">
        <f>H27-(0.1*C19)</f>
        <v>#REF!</v>
      </c>
      <c r="I28" s="125" t="e">
        <f>I27-(0.1*C19)</f>
        <v>#REF!</v>
      </c>
      <c r="J28" s="125" t="e">
        <f>J27-(0.1*C19)</f>
        <v>#REF!</v>
      </c>
      <c r="K28" s="125" t="e">
        <f>K27-(0.1*C19)</f>
        <v>#REF!</v>
      </c>
      <c r="L28" s="125" t="e">
        <f>L27-(0.1*C19)</f>
        <v>#REF!</v>
      </c>
      <c r="M28" s="125" t="e">
        <f>M27-(0.1*C19)</f>
        <v>#REF!</v>
      </c>
      <c r="O28" s="103" t="s">
        <v>39</v>
      </c>
    </row>
    <row r="29" spans="1:15" ht="25.15" customHeight="1" x14ac:dyDescent="0.25"/>
  </sheetData>
  <mergeCells count="3">
    <mergeCell ref="C8:D8"/>
    <mergeCell ref="C10:D10"/>
    <mergeCell ref="A10:B10"/>
  </mergeCells>
  <pageMargins left="0.7" right="0.7" top="0.78740157499999996" bottom="0.78740157499999996" header="0.3" footer="0.3"/>
  <pageSetup paperSize="9"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539A7BDA-4780-4C83-863D-5C4206EE6B40}">
          <x14:formula1>
            <xm:f>Status!$H$3:$H$27</xm:f>
          </x14:formula1>
          <xm:sqref>C8:D8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652B0-29D7-428F-956C-09F4F1614A42}">
  <sheetPr codeName="Tabelle18">
    <tabColor rgb="FFA21C20"/>
  </sheetPr>
  <dimension ref="A1:Q56"/>
  <sheetViews>
    <sheetView showGridLines="0" topLeftCell="A9" zoomScale="70" zoomScaleNormal="70" workbookViewId="0">
      <selection activeCell="C12" sqref="C12"/>
    </sheetView>
  </sheetViews>
  <sheetFormatPr baseColWidth="10" defaultColWidth="11.42578125" defaultRowHeight="15" x14ac:dyDescent="0.25"/>
  <cols>
    <col min="1" max="1" width="4.7109375" customWidth="1"/>
    <col min="2" max="2" width="19.7109375" customWidth="1"/>
    <col min="3" max="3" width="67.140625" customWidth="1"/>
    <col min="4" max="4" width="9.7109375" customWidth="1"/>
    <col min="5" max="7" width="11.7109375" customWidth="1"/>
    <col min="8" max="11" width="13.7109375" customWidth="1"/>
    <col min="12" max="12" width="10.7109375" customWidth="1"/>
    <col min="13" max="13" width="44.140625" customWidth="1"/>
    <col min="14" max="14" width="23" customWidth="1"/>
    <col min="15" max="15" width="25.5703125" customWidth="1"/>
    <col min="16" max="16" width="28.28515625" customWidth="1"/>
    <col min="17" max="17" width="25.28515625" customWidth="1"/>
    <col min="18" max="18" width="34" customWidth="1"/>
  </cols>
  <sheetData>
    <row r="1" spans="1:17" ht="15" customHeight="1" x14ac:dyDescent="0.25"/>
    <row r="2" spans="1:17" ht="15" customHeight="1" x14ac:dyDescent="0.25"/>
    <row r="3" spans="1:17" ht="15" customHeight="1" x14ac:dyDescent="0.35">
      <c r="M3" s="67"/>
    </row>
    <row r="4" spans="1:17" ht="15" customHeight="1" x14ac:dyDescent="0.25"/>
    <row r="5" spans="1:17" s="13" customFormat="1" ht="115.5" customHeight="1" x14ac:dyDescent="0.25">
      <c r="A5" s="273"/>
      <c r="B5" s="273"/>
      <c r="C5" s="273"/>
      <c r="D5" s="273"/>
      <c r="E5" s="273"/>
      <c r="F5" s="273"/>
      <c r="G5" s="273"/>
      <c r="H5" s="273"/>
      <c r="I5" s="273"/>
      <c r="J5" s="273"/>
      <c r="K5" s="273"/>
      <c r="L5" s="273"/>
    </row>
    <row r="6" spans="1:17" ht="30" customHeight="1" x14ac:dyDescent="0.25">
      <c r="A6" s="274" t="s">
        <v>40</v>
      </c>
      <c r="B6" s="274" t="s">
        <v>41</v>
      </c>
      <c r="C6" s="274" t="s">
        <v>42</v>
      </c>
      <c r="D6" s="274" t="s">
        <v>43</v>
      </c>
      <c r="E6" s="274" t="str">
        <f>"Status
1. Bewerbung"&amp;CHAR(10)&amp;Überblick!$F$14</f>
        <v>Status
1. Bewerbung
2025</v>
      </c>
      <c r="F6" s="274" t="str">
        <f>"Status
2. Bewerbung"&amp;CHAR(10)&amp;Überblick!$F$16</f>
        <v>Status
2. Bewerbung
2026</v>
      </c>
      <c r="G6" s="274" t="str">
        <f>"Status 
3. Bewerbung"&amp;CHAR(10)&amp;Überblick!$F$18</f>
        <v xml:space="preserve">Status 
3. Bewerbung
</v>
      </c>
      <c r="H6" s="274" t="s">
        <v>44</v>
      </c>
      <c r="I6" s="274" t="s">
        <v>45</v>
      </c>
      <c r="J6" s="274" t="s">
        <v>46</v>
      </c>
      <c r="K6" s="274" t="s">
        <v>47</v>
      </c>
      <c r="L6" s="110"/>
      <c r="M6" s="276" t="s">
        <v>48</v>
      </c>
      <c r="N6" s="278" t="s">
        <v>49</v>
      </c>
      <c r="O6" s="278" t="s">
        <v>50</v>
      </c>
      <c r="P6" s="278" t="s">
        <v>51</v>
      </c>
      <c r="Q6" s="278" t="s">
        <v>52</v>
      </c>
    </row>
    <row r="7" spans="1:17" ht="21" customHeight="1" x14ac:dyDescent="0.25">
      <c r="A7" s="275"/>
      <c r="B7" s="275"/>
      <c r="C7" s="275"/>
      <c r="D7" s="275"/>
      <c r="E7" s="275"/>
      <c r="F7" s="275"/>
      <c r="G7" s="275"/>
      <c r="H7" s="275"/>
      <c r="I7" s="275"/>
      <c r="J7" s="275"/>
      <c r="K7" s="275"/>
      <c r="L7" s="110"/>
      <c r="M7" s="277"/>
      <c r="N7" s="279"/>
      <c r="O7" s="279"/>
      <c r="P7" s="279"/>
      <c r="Q7" s="279"/>
    </row>
    <row r="8" spans="1:17" ht="108" customHeight="1" x14ac:dyDescent="0.25">
      <c r="A8" s="140" t="s">
        <v>53</v>
      </c>
      <c r="B8" s="208" t="s">
        <v>54</v>
      </c>
      <c r="C8" s="209" t="s">
        <v>55</v>
      </c>
      <c r="D8" s="153">
        <v>43344</v>
      </c>
      <c r="E8" s="142" t="s">
        <v>56</v>
      </c>
      <c r="F8" s="142" t="s">
        <v>56</v>
      </c>
      <c r="G8" s="142"/>
      <c r="H8" s="143" t="s">
        <v>57</v>
      </c>
      <c r="I8" s="142" t="s">
        <v>58</v>
      </c>
      <c r="J8" s="144"/>
      <c r="K8" s="152"/>
      <c r="L8" s="111"/>
      <c r="M8" s="159"/>
      <c r="N8" s="160"/>
      <c r="O8" s="161"/>
      <c r="P8" s="162"/>
      <c r="Q8" s="163">
        <f>IF(M8="Restmüll reduzieren (Einheit m³)",O8*P8*[1]Faktoren!$E$4,0)+IF(M8="Restmüll reduzieren (Einheit t)",O8*P8*[1]Faktoren!$E$5,0)+IF(M8="Papiermüll reduzieren (Einheit m³)",O8*P8*[1]Faktoren!$E$6,0)+IF(M8="Papiermüll reduzieren (Einheit t)",O8*P8*[1]Faktoren!$E$7,0)</f>
        <v>0</v>
      </c>
    </row>
    <row r="9" spans="1:17" ht="129.75" customHeight="1" x14ac:dyDescent="0.25">
      <c r="A9" s="140" t="s">
        <v>59</v>
      </c>
      <c r="B9" s="141" t="s">
        <v>60</v>
      </c>
      <c r="C9" s="142" t="s">
        <v>61</v>
      </c>
      <c r="D9" s="153">
        <v>44075</v>
      </c>
      <c r="E9" s="142" t="s">
        <v>56</v>
      </c>
      <c r="F9" s="142" t="s">
        <v>56</v>
      </c>
      <c r="G9" s="142"/>
      <c r="H9" s="142" t="s">
        <v>62</v>
      </c>
      <c r="I9" s="142" t="s">
        <v>63</v>
      </c>
      <c r="J9" s="144"/>
      <c r="K9" s="152"/>
      <c r="L9" s="111"/>
      <c r="M9" s="159" t="s">
        <v>953</v>
      </c>
      <c r="N9" s="160" t="s">
        <v>77</v>
      </c>
      <c r="O9" s="161"/>
      <c r="P9" s="162"/>
      <c r="Q9" s="163">
        <v>1900</v>
      </c>
    </row>
    <row r="10" spans="1:17" ht="70.5" customHeight="1" x14ac:dyDescent="0.25">
      <c r="A10" s="140" t="s">
        <v>64</v>
      </c>
      <c r="B10" s="208" t="s">
        <v>65</v>
      </c>
      <c r="C10" s="209" t="s">
        <v>66</v>
      </c>
      <c r="D10" s="153">
        <v>44440</v>
      </c>
      <c r="E10" s="142" t="s">
        <v>56</v>
      </c>
      <c r="F10" s="142" t="s">
        <v>56</v>
      </c>
      <c r="G10" s="142"/>
      <c r="H10" s="143" t="s">
        <v>67</v>
      </c>
      <c r="I10" s="142" t="s">
        <v>58</v>
      </c>
      <c r="J10" s="144"/>
      <c r="K10" s="152"/>
      <c r="L10" s="111"/>
      <c r="M10" s="159"/>
      <c r="N10" s="160"/>
      <c r="O10" s="160"/>
      <c r="P10" s="162"/>
      <c r="Q10" s="163">
        <f>IF(M10="Restmüll reduzieren (Einheit m³)",O10*P10*Faktoren!$E$4,0)+IF(M10="Restmüll reduzieren (Einheit t)",O10*P10*Faktoren!$E$5,0)+IF(M10="Papiermüll reduzieren (Einheit m³)",O10*P10*Faktoren!$E$6,0)+IF(M10="Papiermüll reduzieren (Einheit t)",O10*P10*Faktoren!$E$7,0)</f>
        <v>0</v>
      </c>
    </row>
    <row r="11" spans="1:17" ht="70.5" customHeight="1" x14ac:dyDescent="0.25">
      <c r="A11" s="140" t="s">
        <v>68</v>
      </c>
      <c r="B11" s="208" t="s">
        <v>69</v>
      </c>
      <c r="C11" s="209" t="s">
        <v>70</v>
      </c>
      <c r="D11" s="153">
        <v>45536</v>
      </c>
      <c r="E11" s="142" t="s">
        <v>56</v>
      </c>
      <c r="F11" s="142" t="s">
        <v>56</v>
      </c>
      <c r="G11" s="142"/>
      <c r="H11" s="143" t="s">
        <v>71</v>
      </c>
      <c r="I11" s="142" t="s">
        <v>58</v>
      </c>
      <c r="J11" s="144"/>
      <c r="K11" s="152"/>
      <c r="L11" s="111"/>
      <c r="M11" s="159"/>
      <c r="N11" s="160"/>
      <c r="O11" s="160"/>
      <c r="P11" s="162"/>
      <c r="Q11" s="163">
        <f>IF(M11="Restmüll reduzieren (Einheit m³)",O11*P11*Faktoren!$E$4,0)+IF(M11="Restmüll reduzieren (Einheit t)",O11*P11*Faktoren!$E$5,0)+IF(M11="Papiermüll reduzieren (Einheit m³)",O11*P11*Faktoren!$E$6,0)+IF(M11="Papiermüll reduzieren (Einheit t)",O11*P11*Faktoren!$E$7,0)</f>
        <v>0</v>
      </c>
    </row>
    <row r="12" spans="1:17" ht="102" customHeight="1" x14ac:dyDescent="0.25">
      <c r="A12" s="146" t="s">
        <v>72</v>
      </c>
      <c r="B12" s="215" t="s">
        <v>73</v>
      </c>
      <c r="C12" s="209" t="s">
        <v>74</v>
      </c>
      <c r="D12" s="217">
        <v>45992</v>
      </c>
      <c r="E12" s="218"/>
      <c r="F12" s="218" t="s">
        <v>75</v>
      </c>
      <c r="G12" s="143"/>
      <c r="H12" s="216" t="s">
        <v>76</v>
      </c>
      <c r="I12" s="143" t="s">
        <v>63</v>
      </c>
      <c r="J12" s="265"/>
      <c r="K12" s="169"/>
      <c r="L12" s="111"/>
      <c r="M12" s="159"/>
      <c r="N12" s="160"/>
      <c r="O12" s="160"/>
      <c r="P12" s="162"/>
      <c r="Q12" s="163">
        <f>IF(M12="Restmüll reduzieren (Einheit m³)",#REF!*P12*Faktoren!$E$4,0)+IF(M12="Restmüll reduzieren (Einheit t)",#REF!*P12*Faktoren!$E$5,0)+IF(M12="Papiermüll reduzieren (Einheit m³)",#REF!*P12*Faktoren!$E$6,0)+IF(M12="Papiermüll reduzieren (Einheit t)",#REF!*P12*Faktoren!$E$7,0)</f>
        <v>0</v>
      </c>
    </row>
    <row r="13" spans="1:17" ht="93" customHeight="1" x14ac:dyDescent="0.25">
      <c r="A13" s="146" t="s">
        <v>77</v>
      </c>
      <c r="B13" s="145" t="s">
        <v>78</v>
      </c>
      <c r="C13" s="210" t="s">
        <v>79</v>
      </c>
      <c r="D13" s="153">
        <v>46113</v>
      </c>
      <c r="E13" s="142" t="s">
        <v>80</v>
      </c>
      <c r="F13" s="142" t="s">
        <v>81</v>
      </c>
      <c r="G13" s="142"/>
      <c r="H13" s="143" t="s">
        <v>82</v>
      </c>
      <c r="I13" s="142" t="s">
        <v>58</v>
      </c>
      <c r="J13" s="144">
        <v>1900</v>
      </c>
      <c r="K13" s="152">
        <v>2027</v>
      </c>
      <c r="L13" s="111"/>
      <c r="M13" s="159"/>
      <c r="N13" s="160"/>
      <c r="O13" s="160"/>
      <c r="P13" s="162"/>
      <c r="Q13" s="163">
        <f>IF(M13="Restmüll reduzieren (Einheit m³)",#REF!*P13*Faktoren!$E$4,0)+IF(M13="Restmüll reduzieren (Einheit t)",#REF!*P13*Faktoren!$E$5,0)+IF(M13="Papiermüll reduzieren (Einheit m³)",#REF!*P13*Faktoren!$E$6,0)+IF(M13="Papiermüll reduzieren (Einheit t)",#REF!*P13*Faktoren!$E$7,0)</f>
        <v>0</v>
      </c>
    </row>
    <row r="14" spans="1:17" ht="105" customHeight="1" x14ac:dyDescent="0.25">
      <c r="A14" s="226" t="s">
        <v>83</v>
      </c>
      <c r="B14" s="222" t="s">
        <v>84</v>
      </c>
      <c r="C14" s="237" t="s">
        <v>85</v>
      </c>
      <c r="D14" s="238">
        <v>46266</v>
      </c>
      <c r="E14" s="222"/>
      <c r="F14" s="222" t="s">
        <v>80</v>
      </c>
      <c r="G14" s="222"/>
      <c r="H14" s="222" t="s">
        <v>86</v>
      </c>
      <c r="I14" s="247" t="s">
        <v>63</v>
      </c>
      <c r="J14" s="249"/>
      <c r="K14" s="240"/>
      <c r="L14" s="111"/>
      <c r="M14" s="231"/>
      <c r="N14" s="232"/>
      <c r="O14" s="232"/>
      <c r="P14" s="233"/>
      <c r="Q14" s="234"/>
    </row>
    <row r="15" spans="1:17" ht="24" customHeight="1" x14ac:dyDescent="0.25">
      <c r="I15" s="267" t="s">
        <v>87</v>
      </c>
      <c r="J15" s="266">
        <f>SUM(J8:J14)</f>
        <v>1900</v>
      </c>
    </row>
    <row r="16" spans="1:17" ht="50.1" customHeight="1" x14ac:dyDescent="0.25"/>
    <row r="40" spans="2:2" x14ac:dyDescent="0.25">
      <c r="B40" s="107"/>
    </row>
    <row r="41" spans="2:2" x14ac:dyDescent="0.25">
      <c r="B41" s="107"/>
    </row>
    <row r="42" spans="2:2" x14ac:dyDescent="0.25">
      <c r="B42" s="107"/>
    </row>
    <row r="43" spans="2:2" x14ac:dyDescent="0.25">
      <c r="B43" s="107"/>
    </row>
    <row r="44" spans="2:2" x14ac:dyDescent="0.25">
      <c r="B44" s="107"/>
    </row>
    <row r="45" spans="2:2" x14ac:dyDescent="0.25">
      <c r="B45" s="107"/>
    </row>
    <row r="46" spans="2:2" x14ac:dyDescent="0.25">
      <c r="B46" s="107"/>
    </row>
    <row r="47" spans="2:2" x14ac:dyDescent="0.25">
      <c r="B47" s="107"/>
    </row>
    <row r="48" spans="2:2" x14ac:dyDescent="0.25">
      <c r="B48" s="107"/>
    </row>
    <row r="49" spans="2:2" x14ac:dyDescent="0.25">
      <c r="B49" s="107"/>
    </row>
    <row r="50" spans="2:2" x14ac:dyDescent="0.25">
      <c r="B50" s="107"/>
    </row>
    <row r="51" spans="2:2" x14ac:dyDescent="0.25">
      <c r="B51" s="107"/>
    </row>
    <row r="52" spans="2:2" x14ac:dyDescent="0.25">
      <c r="B52" s="107"/>
    </row>
    <row r="53" spans="2:2" x14ac:dyDescent="0.25">
      <c r="B53" s="107"/>
    </row>
    <row r="54" spans="2:2" x14ac:dyDescent="0.25">
      <c r="B54" s="107"/>
    </row>
    <row r="55" spans="2:2" x14ac:dyDescent="0.25">
      <c r="B55" s="107"/>
    </row>
    <row r="56" spans="2:2" x14ac:dyDescent="0.25">
      <c r="B56" s="107"/>
    </row>
  </sheetData>
  <sheetProtection selectLockedCells="1"/>
  <mergeCells count="17">
    <mergeCell ref="M6:M7"/>
    <mergeCell ref="O6:O7"/>
    <mergeCell ref="P6:P7"/>
    <mergeCell ref="Q6:Q7"/>
    <mergeCell ref="J6:J7"/>
    <mergeCell ref="N6:N7"/>
    <mergeCell ref="A5:L5"/>
    <mergeCell ref="A6:A7"/>
    <mergeCell ref="B6:B7"/>
    <mergeCell ref="C6:C7"/>
    <mergeCell ref="D6:D7"/>
    <mergeCell ref="E6:E7"/>
    <mergeCell ref="F6:F7"/>
    <mergeCell ref="G6:G7"/>
    <mergeCell ref="H6:H7"/>
    <mergeCell ref="I6:I7"/>
    <mergeCell ref="K6:K7"/>
  </mergeCells>
  <phoneticPr fontId="2" type="noConversion"/>
  <conditionalFormatting sqref="E8:G14">
    <cfRule type="containsText" dxfId="129" priority="1" operator="containsText" text="Umsetzung nicht möglich">
      <formula>NOT(ISERROR(SEARCH("Umsetzung nicht möglich",E8)))</formula>
    </cfRule>
    <cfRule type="containsText" dxfId="128" priority="2" operator="containsText" text="bisher nicht umgesetzt">
      <formula>NOT(ISERROR(SEARCH("bisher nicht umgesetzt",E8)))</formula>
    </cfRule>
    <cfRule type="containsText" dxfId="127" priority="3" operator="containsText" text="zukünftiger Termin">
      <formula>NOT(ISERROR(SEARCH("zukünftiger Termin",E8)))</formula>
    </cfRule>
    <cfRule type="containsText" dxfId="126" priority="4" operator="containsText" text="In Umsetzung (Ende)">
      <formula>NOT(ISERROR(SEARCH("In Umsetzung (Ende)",E8)))</formula>
    </cfRule>
    <cfRule type="containsText" dxfId="125" priority="5" operator="containsText" text="In Umsetzung (Mitte)">
      <formula>NOT(ISERROR(SEARCH("In Umsetzung (Mitte)",E8)))</formula>
    </cfRule>
    <cfRule type="containsText" dxfId="124" priority="6" operator="containsText" text="In Umsetzung (Anfang)">
      <formula>NOT(ISERROR(SEARCH("In Umsetzung (Anfang)",E8)))</formula>
    </cfRule>
    <cfRule type="containsText" dxfId="123" priority="7" operator="containsText" text="umgesetzt">
      <formula>NOT(ISERROR(SEARCH("umgesetzt",E8)))</formula>
    </cfRule>
  </conditionalFormatting>
  <conditionalFormatting sqref="E10:G10">
    <cfRule type="containsText" dxfId="122" priority="26" operator="containsText" text="Umsetzung nicht möglich">
      <formula>NOT(ISERROR(SEARCH("Umsetzung nicht möglich",E10)))</formula>
    </cfRule>
  </conditionalFormatting>
  <conditionalFormatting sqref="O8:O14">
    <cfRule type="expression" dxfId="121" priority="15">
      <formula>M8="Papiermüll reduzieren (Einheit t)"</formula>
    </cfRule>
    <cfRule type="expression" dxfId="120" priority="16">
      <formula>M8="Papiermüll reduzieren (Einheit m³)"</formula>
    </cfRule>
    <cfRule type="expression" dxfId="119" priority="17">
      <formula>M8="Restmüll reduzieren (Einheit t)"</formula>
    </cfRule>
    <cfRule type="expression" dxfId="118" priority="18">
      <formula>M8="Restmüll reduzieren (Einheit m³)"</formula>
    </cfRule>
  </conditionalFormatting>
  <dataValidations count="2">
    <dataValidation type="list" allowBlank="1" showInputMessage="1" showErrorMessage="1" sqref="N8:N11 N12:N14" xr:uid="{66B9426D-9087-4A97-8856-ADFE6197758E}">
      <formula1>"AF1,AF2,AF3,AF4,AF5,AF6,AF7,AF8,AF9,AF10,AF11,AF12,AF13,AF14,AF15,AF16,AF17,AF18,AF19,AF20"</formula1>
    </dataValidation>
    <dataValidation type="decimal" allowBlank="1" showInputMessage="1" showErrorMessage="1" sqref="P8:P11 P12:P14" xr:uid="{45B8E186-E73B-43FB-9FC1-A9DEF4B43977}">
      <formula1>0</formula1>
      <formula2>1</formula2>
    </dataValidation>
  </dataValidations>
  <pageMargins left="0.7" right="0.7" top="0.78740157499999996" bottom="0.78740157499999996"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35F508-79FA-433C-9269-45915179A3AE}">
          <x14:formula1>
            <xm:f>Faktoren!$C$4:$C$7</xm:f>
          </x14:formula1>
          <xm:sqref>M8 M10:M11 M12:M14 O12:O14</xm:sqref>
        </x14:dataValidation>
        <x14:dataValidation type="list" allowBlank="1" showInputMessage="1" showErrorMessage="1" xr:uid="{C4161366-C27F-4D15-8CFC-BEBFC4570A81}">
          <x14:formula1>
            <xm:f>Status!$A$2:$A$10</xm:f>
          </x14:formula1>
          <xm:sqref>E8:G14</xm:sqref>
        </x14:dataValidation>
        <x14:dataValidation type="list" allowBlank="1" showInputMessage="1" showErrorMessage="1" xr:uid="{93D9BC75-F73E-40FC-856A-1044A74FA869}">
          <x14:formula1>
            <xm:f>Status!$E$3:$E$8</xm:f>
          </x14:formula1>
          <xm:sqref>I8:I14</xm:sqref>
        </x14:dataValidation>
        <x14:dataValidation type="list" allowBlank="1" showInputMessage="1" showErrorMessage="1" xr:uid="{AEBB42DA-7123-4901-A6C0-525CB32157F8}">
          <x14:formula1>
            <xm:f>Status!$H$3:$H$27</xm:f>
          </x14:formula1>
          <xm:sqref>K8:K14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tabColor rgb="FF174D9F"/>
  </sheetPr>
  <dimension ref="A1:R58"/>
  <sheetViews>
    <sheetView showGridLines="0" topLeftCell="A4" zoomScale="60" zoomScaleNormal="60" zoomScaleSheetLayoutView="100" workbookViewId="0">
      <selection activeCell="C8" sqref="C8"/>
    </sheetView>
  </sheetViews>
  <sheetFormatPr baseColWidth="10" defaultColWidth="11.42578125" defaultRowHeight="15" x14ac:dyDescent="0.25"/>
  <cols>
    <col min="1" max="1" width="4.7109375" customWidth="1"/>
    <col min="2" max="2" width="19.7109375" customWidth="1"/>
    <col min="3" max="3" width="43.42578125" customWidth="1"/>
    <col min="4" max="4" width="9.7109375" customWidth="1"/>
    <col min="5" max="7" width="11.7109375" customWidth="1"/>
    <col min="8" max="11" width="13.7109375" customWidth="1"/>
    <col min="13" max="13" width="10.42578125" customWidth="1"/>
    <col min="14" max="14" width="44.42578125" customWidth="1"/>
    <col min="15" max="15" width="20.7109375" customWidth="1"/>
    <col min="16" max="16" width="26.28515625" customWidth="1"/>
    <col min="17" max="17" width="34.140625" customWidth="1"/>
    <col min="18" max="18" width="22.28515625" customWidth="1"/>
  </cols>
  <sheetData>
    <row r="1" spans="1:18" ht="15" customHeight="1" x14ac:dyDescent="0.25"/>
    <row r="2" spans="1:18" ht="15" customHeight="1" x14ac:dyDescent="0.25"/>
    <row r="3" spans="1:18" ht="15" customHeight="1" x14ac:dyDescent="0.35">
      <c r="M3" s="67"/>
    </row>
    <row r="4" spans="1:18" ht="15" customHeight="1" x14ac:dyDescent="0.25"/>
    <row r="5" spans="1:18" ht="15" customHeight="1" x14ac:dyDescent="0.25"/>
    <row r="6" spans="1:18" ht="30" customHeight="1" x14ac:dyDescent="0.25">
      <c r="A6" s="290" t="s">
        <v>40</v>
      </c>
      <c r="B6" s="290" t="s">
        <v>41</v>
      </c>
      <c r="C6" s="290" t="s">
        <v>88</v>
      </c>
      <c r="D6" s="290" t="s">
        <v>43</v>
      </c>
      <c r="E6" s="290" t="str">
        <f>"Status
1. Bewerbung"&amp;CHAR(10)&amp;Überblick!$F$14</f>
        <v>Status
1. Bewerbung
2025</v>
      </c>
      <c r="F6" s="290" t="str">
        <f>"Status
2. Bewerbung"&amp;CHAR(10)&amp;Überblick!$F$16</f>
        <v>Status
2. Bewerbung
2026</v>
      </c>
      <c r="G6" s="290" t="str">
        <f>"Status 
3. Bewerbung"&amp;CHAR(10)&amp;Überblick!$F$18</f>
        <v xml:space="preserve">Status 
3. Bewerbung
</v>
      </c>
      <c r="H6" s="290" t="s">
        <v>89</v>
      </c>
      <c r="I6" s="290" t="s">
        <v>45</v>
      </c>
      <c r="J6" s="294" t="s">
        <v>46</v>
      </c>
      <c r="K6" s="294" t="s">
        <v>47</v>
      </c>
      <c r="N6" s="292" t="s">
        <v>48</v>
      </c>
      <c r="O6" s="296" t="s">
        <v>49</v>
      </c>
      <c r="P6" s="291" t="s">
        <v>90</v>
      </c>
      <c r="Q6" s="291" t="s">
        <v>91</v>
      </c>
      <c r="R6" s="291" t="s">
        <v>92</v>
      </c>
    </row>
    <row r="7" spans="1:18" ht="30" customHeight="1" x14ac:dyDescent="0.25">
      <c r="A7" s="290"/>
      <c r="B7" s="290"/>
      <c r="C7" s="290"/>
      <c r="D7" s="290"/>
      <c r="E7" s="290"/>
      <c r="F7" s="290"/>
      <c r="G7" s="290"/>
      <c r="H7" s="290"/>
      <c r="I7" s="290"/>
      <c r="J7" s="295"/>
      <c r="K7" s="295"/>
      <c r="N7" s="292"/>
      <c r="O7" s="297"/>
      <c r="P7" s="291"/>
      <c r="Q7" s="293"/>
      <c r="R7" s="291"/>
    </row>
    <row r="8" spans="1:18" ht="72" customHeight="1" x14ac:dyDescent="0.25">
      <c r="A8" s="194" t="s">
        <v>93</v>
      </c>
      <c r="B8" s="145" t="s">
        <v>94</v>
      </c>
      <c r="C8" s="143" t="s">
        <v>95</v>
      </c>
      <c r="D8" s="153">
        <v>42248</v>
      </c>
      <c r="E8" s="142" t="s">
        <v>56</v>
      </c>
      <c r="F8" s="142" t="s">
        <v>56</v>
      </c>
      <c r="G8" s="142"/>
      <c r="H8" s="142" t="s">
        <v>96</v>
      </c>
      <c r="I8" s="142" t="s">
        <v>58</v>
      </c>
      <c r="J8" s="144"/>
      <c r="K8" s="152"/>
      <c r="N8" s="168" t="s">
        <v>97</v>
      </c>
      <c r="O8" s="169" t="s">
        <v>112</v>
      </c>
      <c r="P8" s="170">
        <v>151750</v>
      </c>
      <c r="Q8" s="171">
        <v>0.9</v>
      </c>
      <c r="R8" s="172">
        <f>IF(N8="Kopierpapier: Frischfaserpapier durch Recyclingpapier ersetzen",Einkauf!P8*Einkauf!Q8*Faktoren!$E$9,0)+IF(N8="Kopierpapier: Papierverbrauch reduzieren (Frischfaser)",Einkauf!P8*Einkauf!Q8*Faktoren!$E$10,0)+IF(N8="Kopierpapier: Papierverbrauch reduzieren (Recycling)",Einkauf!P8*Einkauf!Q8*Faktoren!$E$11,0)+IF(N8="Toilettenpapier: Frischfaser- durch Recyclingpapier ersetzen (Normalrolle)",Einkauf!P8*Einkauf!Q8*Faktoren!$E$12,0)+IF(N8="Toilettenpapier: Frischfaser- durch Recyclingpapier ersetzen (Jumborolle)",Einkauf!P8*Einkauf!Q8*Faktoren!$E$13,0)+IF(N8="Toilettenpapier: Verbrauch reduzieren (Jumborolle, Frischfaser)",Einkauf!P8*Einkauf!Q8*Faktoren!$E$14,0)+IF(N8="Toilettenpapier: Verbrauch reduzieren (Jumborolle, Recycling)",Einkauf!P8*Einkauf!Q8*Faktoren!$E$15,0)+IF(N8="Toilettenpapier: Verbrauch reduzieren (Normalrolle, Frischfaser)",Einkauf!P8*Einkauf!Q8*Faktoren!$E$16,0)+IF(N8="Toilettenpapier: Verbrauch reduzieren (Normalrolle, Recycling)",Einkauf!P8*Einkauf!Q8*Faktoren!$E$17,0)+IF(N8="Papierhandtücher: Frischfaser durch Recyclingpapier ersetzen",Einkauf!P8*Einkauf!Q8*Faktoren!$E$18,0)+IF(N8="Papierhandtücher: Verbrauch reduzieren (Frischfaser)",Einkauf!P8*Einkauf!Q8*Faktoren!$E$19,0)+IF(N8="Papierhandtücher: Verbrauch reduzieren (Recycling)",Einkauf!P8*Einkauf!Q8*Faktoren!$E$20,0)</f>
        <v>122.66183159999997</v>
      </c>
    </row>
    <row r="9" spans="1:18" ht="134.25" customHeight="1" x14ac:dyDescent="0.25">
      <c r="A9" s="194" t="s">
        <v>99</v>
      </c>
      <c r="B9" s="145" t="s">
        <v>100</v>
      </c>
      <c r="C9" s="143" t="s">
        <v>101</v>
      </c>
      <c r="D9" s="153">
        <v>43734</v>
      </c>
      <c r="E9" s="142" t="s">
        <v>56</v>
      </c>
      <c r="F9" s="142" t="s">
        <v>56</v>
      </c>
      <c r="G9" s="142"/>
      <c r="H9" s="142" t="s">
        <v>102</v>
      </c>
      <c r="I9" s="142" t="s">
        <v>103</v>
      </c>
      <c r="J9" s="144"/>
      <c r="K9" s="152"/>
      <c r="N9" s="168"/>
      <c r="O9" s="169"/>
      <c r="P9" s="170"/>
      <c r="Q9" s="171"/>
      <c r="R9" s="172"/>
    </row>
    <row r="10" spans="1:18" ht="137.25" customHeight="1" x14ac:dyDescent="0.25">
      <c r="A10" s="194" t="s">
        <v>104</v>
      </c>
      <c r="B10" s="145" t="s">
        <v>105</v>
      </c>
      <c r="C10" s="143" t="s">
        <v>106</v>
      </c>
      <c r="D10" s="153">
        <v>45536</v>
      </c>
      <c r="E10" s="142" t="s">
        <v>81</v>
      </c>
      <c r="F10" s="142" t="s">
        <v>56</v>
      </c>
      <c r="G10" s="142"/>
      <c r="H10" s="143" t="s">
        <v>107</v>
      </c>
      <c r="I10" s="143" t="s">
        <v>58</v>
      </c>
      <c r="J10" s="144">
        <v>696</v>
      </c>
      <c r="K10" s="152">
        <v>2025</v>
      </c>
      <c r="N10" s="168" t="s">
        <v>108</v>
      </c>
      <c r="O10" s="169" t="s">
        <v>104</v>
      </c>
      <c r="P10" s="170">
        <v>303500</v>
      </c>
      <c r="Q10" s="171">
        <v>0.5</v>
      </c>
      <c r="R10" s="172">
        <f>IF(N10="Kopierpapier: Frischfaserpapier durch Recyclingpapier ersetzen",Einkauf!P10*Einkauf!Q10*Faktoren!$E$9,0)+IF(N10="Kopierpapier: Papierverbrauch reduzieren (Frischfaser)",Einkauf!P10*Einkauf!Q10*Faktoren!$E$10,0)+IF(N10="Kopierpapier: Papierverbrauch reduzieren (Recycling)",Einkauf!P10*Einkauf!Q10*Faktoren!$E$11,0)+IF(N10="Toilettenpapier: Frischfaser- durch Recyclingpapier ersetzen (Normalrolle)",Einkauf!P10*Einkauf!Q10*Faktoren!$E$12,0)+IF(N10="Toilettenpapier: Frischfaser- durch Recyclingpapier ersetzen (Jumborolle)",Einkauf!P10*Einkauf!Q10*Faktoren!$E$13,0)+IF(N10="Toilettenpapier: Verbrauch reduzieren (Jumborolle, Frischfaser)",Einkauf!P10*Einkauf!Q10*Faktoren!$E$14,0)+IF(N10="Toilettenpapier: Verbrauch reduzieren (Jumborolle, Recycling)",Einkauf!P10*Einkauf!Q10*Faktoren!$E$15,0)+IF(N10="Toilettenpapier: Verbrauch reduzieren (Normalrolle, Frischfaser)",Einkauf!P10*Einkauf!Q10*Faktoren!$E$16,0)+IF(N10="Toilettenpapier: Verbrauch reduzieren (Normalrolle, Recycling)",Einkauf!P10*Einkauf!Q10*Faktoren!$E$17,0)+IF(N10="Papierhandtücher: Frischfaser durch Recyclingpapier ersetzen",Einkauf!P10*Einkauf!Q10*Faktoren!$E$18,0)+IF(N10="Papierhandtücher: Verbrauch reduzieren (Frischfaser)",Einkauf!P10*Einkauf!Q10*Faktoren!$E$19,0)+IF(N10="Papierhandtücher: Verbrauch reduzieren (Recycling)",Einkauf!P10*Einkauf!Q10*Faktoren!$E$20,0)</f>
        <v>696.14375292</v>
      </c>
    </row>
    <row r="11" spans="1:18" ht="86.25" customHeight="1" x14ac:dyDescent="0.25">
      <c r="A11" s="194" t="s">
        <v>98</v>
      </c>
      <c r="B11" s="145" t="s">
        <v>113</v>
      </c>
      <c r="C11" s="209" t="s">
        <v>114</v>
      </c>
      <c r="D11" s="153">
        <v>45858</v>
      </c>
      <c r="E11" s="142" t="s">
        <v>81</v>
      </c>
      <c r="F11" s="142" t="s">
        <v>56</v>
      </c>
      <c r="G11" s="142"/>
      <c r="H11" s="143" t="s">
        <v>115</v>
      </c>
      <c r="I11" s="142" t="s">
        <v>58</v>
      </c>
      <c r="J11" s="144">
        <v>3</v>
      </c>
      <c r="K11" s="152">
        <v>2026</v>
      </c>
      <c r="N11" s="159"/>
      <c r="O11" s="169"/>
      <c r="P11" s="161"/>
      <c r="Q11" s="162"/>
      <c r="R11" s="163"/>
    </row>
    <row r="12" spans="1:18" ht="142.5" customHeight="1" x14ac:dyDescent="0.25">
      <c r="A12" s="194" t="s">
        <v>112</v>
      </c>
      <c r="B12" s="145" t="s">
        <v>109</v>
      </c>
      <c r="C12" s="143" t="s">
        <v>110</v>
      </c>
      <c r="D12" s="153">
        <v>46113</v>
      </c>
      <c r="E12" s="142"/>
      <c r="F12" s="142" t="s">
        <v>81</v>
      </c>
      <c r="G12" s="142"/>
      <c r="H12" s="143" t="s">
        <v>107</v>
      </c>
      <c r="I12" s="143" t="s">
        <v>58</v>
      </c>
      <c r="J12" s="144">
        <v>123</v>
      </c>
      <c r="K12" s="152">
        <v>2027</v>
      </c>
      <c r="N12" s="159" t="s">
        <v>111</v>
      </c>
      <c r="O12" s="169" t="s">
        <v>98</v>
      </c>
      <c r="P12" s="161">
        <v>65</v>
      </c>
      <c r="Q12" s="162">
        <v>0.01</v>
      </c>
      <c r="R12" s="163">
        <f>IF(N12="Restmüll reduzieren (Einheit m³)",P12*Q12*Faktoren!$E$4,0)+IF(N12="Restmüll reduzieren (Einheit t)",P12*Q12*Faktoren!$E$5,0)+IF(N12="Papiermüll reduzieren (Einheit m³)",P12*Q12*Faktoren!$E$6,0)+IF(N12="Papiermüll reduzieren (Einheit t)",P12*Q12*Faktoren!$E$7,0)</f>
        <v>2.7682199999999999</v>
      </c>
    </row>
    <row r="13" spans="1:18" ht="136.5" customHeight="1" x14ac:dyDescent="0.25">
      <c r="A13" s="194" t="s">
        <v>116</v>
      </c>
      <c r="B13" s="145" t="s">
        <v>117</v>
      </c>
      <c r="C13" s="143" t="s">
        <v>118</v>
      </c>
      <c r="D13" s="153">
        <v>46997</v>
      </c>
      <c r="E13" s="142"/>
      <c r="F13" s="142" t="s">
        <v>80</v>
      </c>
      <c r="G13" s="142"/>
      <c r="H13" s="143" t="s">
        <v>119</v>
      </c>
      <c r="I13" s="143" t="s">
        <v>63</v>
      </c>
      <c r="J13" s="144"/>
      <c r="K13" s="152"/>
      <c r="N13" s="168"/>
      <c r="O13" s="169"/>
      <c r="P13" s="170"/>
      <c r="Q13" s="171"/>
      <c r="R13" s="172">
        <f>IF(N13="Kopierpapier: Frischfaserpapier durch Recyclingpapier ersetzen",Einkauf!P13*Einkauf!Q13*Faktoren!$E$9,0)+IF(N13="Kopierpapier: Papierverbrauch reduzieren (Frischfaser)",Einkauf!P13*Einkauf!Q13*Faktoren!$E$10,0)+IF(N13="Kopierpapier: Papierverbrauch reduzieren (Recycling)",Einkauf!P13*Einkauf!Q13*Faktoren!$E$11,0)+IF(N13="Toilettenpapier: Frischfaser- durch Recyclingpapier ersetzen (Normalrolle)",Einkauf!P13*Einkauf!Q13*Faktoren!$E$12,0)+IF(N13="Toilettenpapier: Frischfaser- durch Recyclingpapier ersetzen (Jumborolle)",Einkauf!P13*Einkauf!Q13*Faktoren!$E$13,0)+IF(N13="Toilettenpapier: Verbrauch reduzieren (Jumborolle, Frischfaser)",Einkauf!P13*Einkauf!Q13*Faktoren!$E$14,0)+IF(N13="Toilettenpapier: Verbrauch reduzieren (Jumborolle, Recycling)",Einkauf!P13*Einkauf!Q13*Faktoren!$E$15,0)+IF(N13="Toilettenpapier: Verbrauch reduzieren (Normalrolle, Frischfaser)",Einkauf!P13*Einkauf!Q13*Faktoren!$E$16,0)+IF(N13="Toilettenpapier: Verbrauch reduzieren (Normalrolle, Recycling)",Einkauf!P13*Einkauf!Q13*Faktoren!$E$17,0)+IF(N13="Papierhandtücher: Frischfaser durch Recyclingpapier ersetzen",Einkauf!P13*Einkauf!Q13*Faktoren!$E$18,0)+IF(N13="Papierhandtücher: Verbrauch reduzieren (Frischfaser)",Einkauf!P13*Einkauf!Q13*Faktoren!$E$19,0)+IF(N13="Papierhandtücher: Verbrauch reduzieren (Recycling)",Einkauf!P13*Einkauf!Q13*Faktoren!$E$20,0)</f>
        <v>0</v>
      </c>
    </row>
    <row r="14" spans="1:18" ht="22.5" customHeight="1" x14ac:dyDescent="0.25">
      <c r="A14" s="154"/>
      <c r="B14" s="148"/>
      <c r="C14" s="149"/>
      <c r="D14" s="148"/>
      <c r="E14" s="149"/>
      <c r="F14" s="149"/>
      <c r="G14" s="149"/>
      <c r="H14" s="149"/>
      <c r="I14" s="150" t="s">
        <v>87</v>
      </c>
      <c r="J14" s="151">
        <f>SUM(J8:J13)</f>
        <v>822</v>
      </c>
      <c r="K14" s="151"/>
    </row>
    <row r="15" spans="1:18" ht="21.75" customHeight="1" x14ac:dyDescent="0.25"/>
    <row r="16" spans="1:18" ht="50.1" customHeight="1" x14ac:dyDescent="0.25">
      <c r="M16" s="21"/>
    </row>
    <row r="17" spans="13:13" x14ac:dyDescent="0.25">
      <c r="M17" s="21"/>
    </row>
    <row r="18" spans="13:13" x14ac:dyDescent="0.25">
      <c r="M18" s="22"/>
    </row>
    <row r="19" spans="13:13" x14ac:dyDescent="0.25">
      <c r="M19" s="22"/>
    </row>
    <row r="20" spans="13:13" x14ac:dyDescent="0.25">
      <c r="M20" s="22"/>
    </row>
    <row r="21" spans="13:13" x14ac:dyDescent="0.25">
      <c r="M21" s="21"/>
    </row>
    <row r="22" spans="13:13" x14ac:dyDescent="0.25">
      <c r="M22" s="21"/>
    </row>
    <row r="47" spans="8:8" x14ac:dyDescent="0.25">
      <c r="H47" s="85"/>
    </row>
    <row r="48" spans="8:8" x14ac:dyDescent="0.25">
      <c r="H48" s="85"/>
    </row>
    <row r="49" spans="8:8" x14ac:dyDescent="0.25">
      <c r="H49" s="85"/>
    </row>
    <row r="50" spans="8:8" x14ac:dyDescent="0.25">
      <c r="H50" s="85"/>
    </row>
    <row r="51" spans="8:8" x14ac:dyDescent="0.25">
      <c r="H51" s="85"/>
    </row>
    <row r="52" spans="8:8" x14ac:dyDescent="0.25">
      <c r="H52" s="85"/>
    </row>
    <row r="53" spans="8:8" x14ac:dyDescent="0.25">
      <c r="H53" s="85"/>
    </row>
    <row r="54" spans="8:8" x14ac:dyDescent="0.25">
      <c r="H54" s="85"/>
    </row>
    <row r="55" spans="8:8" x14ac:dyDescent="0.25">
      <c r="H55" s="85"/>
    </row>
    <row r="56" spans="8:8" x14ac:dyDescent="0.25">
      <c r="H56" s="85"/>
    </row>
    <row r="57" spans="8:8" x14ac:dyDescent="0.25">
      <c r="H57" s="85"/>
    </row>
    <row r="58" spans="8:8" x14ac:dyDescent="0.25">
      <c r="H58" s="85"/>
    </row>
  </sheetData>
  <sheetProtection selectLockedCells="1"/>
  <sortState xmlns:xlrd2="http://schemas.microsoft.com/office/spreadsheetml/2017/richdata2" ref="H47:H58">
    <sortCondition ref="H47:H58"/>
  </sortState>
  <mergeCells count="16">
    <mergeCell ref="R6:R7"/>
    <mergeCell ref="H6:H7"/>
    <mergeCell ref="I6:I7"/>
    <mergeCell ref="F6:F7"/>
    <mergeCell ref="G6:G7"/>
    <mergeCell ref="N6:N7"/>
    <mergeCell ref="P6:P7"/>
    <mergeCell ref="Q6:Q7"/>
    <mergeCell ref="J6:J7"/>
    <mergeCell ref="K6:K7"/>
    <mergeCell ref="O6:O7"/>
    <mergeCell ref="A6:A7"/>
    <mergeCell ref="B6:B7"/>
    <mergeCell ref="C6:C7"/>
    <mergeCell ref="D6:D7"/>
    <mergeCell ref="E6:E7"/>
  </mergeCells>
  <phoneticPr fontId="2" type="noConversion"/>
  <conditionalFormatting sqref="E8:G13">
    <cfRule type="containsText" dxfId="117" priority="1" operator="containsText" text="Umsetzung nicht möglich">
      <formula>NOT(ISERROR(SEARCH("Umsetzung nicht möglich",E8)))</formula>
    </cfRule>
    <cfRule type="containsText" dxfId="116" priority="2" operator="containsText" text="bisher nicht umgesetzt">
      <formula>NOT(ISERROR(SEARCH("bisher nicht umgesetzt",E8)))</formula>
    </cfRule>
    <cfRule type="containsText" dxfId="115" priority="3" operator="containsText" text="zukünftiger Termin">
      <formula>NOT(ISERROR(SEARCH("zukünftiger Termin",E8)))</formula>
    </cfRule>
    <cfRule type="containsText" dxfId="114" priority="4" operator="containsText" text="In Umsetzung (Ende)">
      <formula>NOT(ISERROR(SEARCH("In Umsetzung (Ende)",E8)))</formula>
    </cfRule>
    <cfRule type="containsText" dxfId="113" priority="5" operator="containsText" text="In Umsetzung (Mitte)">
      <formula>NOT(ISERROR(SEARCH("In Umsetzung (Mitte)",E8)))</formula>
    </cfRule>
    <cfRule type="containsText" dxfId="112" priority="6" operator="containsText" text="In Umsetzung (Anfang)">
      <formula>NOT(ISERROR(SEARCH("In Umsetzung (Anfang)",E8)))</formula>
    </cfRule>
    <cfRule type="containsText" dxfId="111" priority="7" operator="containsText" text="umgesetzt">
      <formula>NOT(ISERROR(SEARCH("umgesetzt",E8)))</formula>
    </cfRule>
  </conditionalFormatting>
  <conditionalFormatting sqref="E12:G12">
    <cfRule type="containsText" dxfId="110" priority="41" operator="containsText" text="Umsetzung nicht möglich">
      <formula>NOT(ISERROR(SEARCH("Umsetzung nicht möglich",E12)))</formula>
    </cfRule>
  </conditionalFormatting>
  <conditionalFormatting sqref="P8:P10 P13">
    <cfRule type="expression" dxfId="109" priority="42">
      <formula>N8="Toilettenpapier: Verbrauch reduzieren (Jumborolle, Recycling)"</formula>
    </cfRule>
    <cfRule type="expression" dxfId="108" priority="43">
      <formula>N8="Toilettenpapier: Verbrauch reduzieren (Jumborolle, Frischfaser)"</formula>
    </cfRule>
    <cfRule type="expression" dxfId="107" priority="44">
      <formula>N8="Toilettenpapier: Frischfaser- durch Recyclingpapier ersetzen (Jumborolle)"</formula>
    </cfRule>
    <cfRule type="expression" dxfId="106" priority="45">
      <formula>N8="Toilettenpapier: Verbrauch reduzieren (Normalrolle, Recycling)"</formula>
    </cfRule>
    <cfRule type="expression" dxfId="105" priority="46">
      <formula>N8="Toilettenpapier: Verbrauch reduzieren (Normalrolle, Frischfaser)"</formula>
    </cfRule>
    <cfRule type="expression" dxfId="104" priority="47">
      <formula>N8="Toilettenpapier: Frischfaser- durch Recyclingpapier ersetzen (Normalrolle)"</formula>
    </cfRule>
    <cfRule type="expression" dxfId="103" priority="49">
      <formula>N8="Papierhandtücher: Verbrauch reduzieren (Recycling)"</formula>
    </cfRule>
    <cfRule type="expression" dxfId="102" priority="50">
      <formula>N8="Papierhandtücher: Verbrauch reduzieren (Frischfaser)"</formula>
    </cfRule>
    <cfRule type="expression" dxfId="101" priority="51">
      <formula>N8="Kopierpapier: Papierverbrauch reduzieren (Recycling)"</formula>
    </cfRule>
    <cfRule type="expression" dxfId="100" priority="52">
      <formula>N8="Kopierpapier: Frischfaserpapier durch Recyclingpapier ersetzen"</formula>
    </cfRule>
    <cfRule type="expression" dxfId="99" priority="53">
      <formula>N8="Kopierpapier: Papierverbrauch reduzieren (Frischfaser)"</formula>
    </cfRule>
  </conditionalFormatting>
  <conditionalFormatting sqref="P11:P12">
    <cfRule type="expression" dxfId="98" priority="8">
      <formula>N11="Papiermüll reduzieren (Einheit t)"</formula>
    </cfRule>
    <cfRule type="expression" dxfId="97" priority="9">
      <formula>N11="Papiermüll reduzieren (Einheit m³)"</formula>
    </cfRule>
    <cfRule type="expression" dxfId="96" priority="10">
      <formula>N11="Restmüll reduzieren (Einheit t)"</formula>
    </cfRule>
    <cfRule type="expression" dxfId="95" priority="11">
      <formula>N11="Restmüll reduzieren (Einheit m³)"</formula>
    </cfRule>
  </conditionalFormatting>
  <dataValidations count="2">
    <dataValidation type="decimal" allowBlank="1" showInputMessage="1" showErrorMessage="1" sqref="Q8:Q13" xr:uid="{9730879A-A955-47AE-B731-51A018CD5B63}">
      <formula1>0</formula1>
      <formula2>1</formula2>
    </dataValidation>
    <dataValidation type="list" allowBlank="1" showInputMessage="1" showErrorMessage="1" sqref="O8:O13" xr:uid="{27FD5B80-3E0F-4833-8110-67663DD04927}">
      <formula1>"EK1,EK2,EK3,EK4,EK5,EK6,EK7,EK8,EK9,EK10,EK11,EK12,EK13,EK14,EK15,EK16,EK17,EK18,EK19,EK20"</formula1>
    </dataValidation>
  </dataValidations>
  <pageMargins left="0.7" right="0.7" top="0.78740157499999996" bottom="0.78740157499999996"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F2E07ED-A13B-41B5-9F85-9055DE0867B7}">
          <x14:formula1>
            <xm:f>Faktoren!$C$9:$C$20</xm:f>
          </x14:formula1>
          <xm:sqref>N13 N8:N10</xm:sqref>
        </x14:dataValidation>
        <x14:dataValidation type="list" allowBlank="1" showInputMessage="1" showErrorMessage="1" xr:uid="{E79EFD55-DD90-4EBA-9784-074062CF59C7}">
          <x14:formula1>
            <xm:f>Faktoren!$C$4:$C$7</xm:f>
          </x14:formula1>
          <xm:sqref>N11:N12</xm:sqref>
        </x14:dataValidation>
        <x14:dataValidation type="list" allowBlank="1" showInputMessage="1" showErrorMessage="1" xr:uid="{00000000-0002-0000-0200-000001000000}">
          <x14:formula1>
            <xm:f>Status!$A$2:$A$10</xm:f>
          </x14:formula1>
          <xm:sqref>E8:G13</xm:sqref>
        </x14:dataValidation>
        <x14:dataValidation type="list" allowBlank="1" showInputMessage="1" showErrorMessage="1" xr:uid="{3211BA5D-BD23-4F9E-B625-7EC2B1075075}">
          <x14:formula1>
            <xm:f>Status!$E$3:$E$8</xm:f>
          </x14:formula1>
          <xm:sqref>I8:I13</xm:sqref>
        </x14:dataValidation>
        <x14:dataValidation type="list" allowBlank="1" showInputMessage="1" showErrorMessage="1" xr:uid="{05C6CD38-0B1A-4933-B3F0-8B7E98FBA4EF}">
          <x14:formula1>
            <xm:f>Status!$H$3:$H$27</xm:f>
          </x14:formula1>
          <xm:sqref>K8:K13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tabColor rgb="FF6CBC44"/>
  </sheetPr>
  <dimension ref="A6:Q54"/>
  <sheetViews>
    <sheetView showGridLines="0" zoomScale="40" zoomScaleNormal="40" workbookViewId="0">
      <selection activeCell="L8" sqref="L8"/>
    </sheetView>
  </sheetViews>
  <sheetFormatPr baseColWidth="10" defaultColWidth="11.42578125" defaultRowHeight="15" x14ac:dyDescent="0.25"/>
  <cols>
    <col min="1" max="1" width="4.7109375" customWidth="1"/>
    <col min="2" max="2" width="19.7109375" customWidth="1"/>
    <col min="3" max="3" width="69" customWidth="1"/>
    <col min="4" max="4" width="9.7109375" customWidth="1"/>
    <col min="5" max="7" width="11.7109375" customWidth="1"/>
    <col min="8" max="11" width="13.7109375" customWidth="1"/>
    <col min="12" max="12" width="16.140625" customWidth="1"/>
    <col min="13" max="13" width="40.7109375" customWidth="1"/>
    <col min="14" max="14" width="25.7109375" customWidth="1"/>
    <col min="15" max="15" width="30.5703125" customWidth="1"/>
    <col min="16" max="16" width="28" bestFit="1" customWidth="1"/>
    <col min="17" max="17" width="18.85546875" customWidth="1"/>
  </cols>
  <sheetData>
    <row r="6" spans="1:17" ht="30" customHeight="1" x14ac:dyDescent="0.25">
      <c r="A6" s="301" t="s">
        <v>40</v>
      </c>
      <c r="B6" s="301" t="s">
        <v>41</v>
      </c>
      <c r="C6" s="301" t="s">
        <v>88</v>
      </c>
      <c r="D6" s="301" t="s">
        <v>43</v>
      </c>
      <c r="E6" s="301" t="str">
        <f>"Status
1. Bewerbung"&amp;CHAR(10)&amp;Überblick!$F$14</f>
        <v>Status
1. Bewerbung
2025</v>
      </c>
      <c r="F6" s="301" t="str">
        <f>"Status
2. Bewerbung"&amp;CHAR(10)&amp;Überblick!$F$16</f>
        <v>Status
2. Bewerbung
2026</v>
      </c>
      <c r="G6" s="301" t="str">
        <f>"Status 
3. Bewerbung"&amp;CHAR(10)&amp;Überblick!$F$18</f>
        <v xml:space="preserve">Status 
3. Bewerbung
</v>
      </c>
      <c r="H6" s="301" t="s">
        <v>44</v>
      </c>
      <c r="I6" s="301" t="s">
        <v>45</v>
      </c>
      <c r="J6" s="301" t="s">
        <v>46</v>
      </c>
      <c r="K6" s="301" t="s">
        <v>47</v>
      </c>
      <c r="M6" s="299" t="s">
        <v>120</v>
      </c>
      <c r="N6" s="298" t="s">
        <v>49</v>
      </c>
      <c r="O6" s="300" t="s">
        <v>121</v>
      </c>
      <c r="P6" s="298" t="s">
        <v>122</v>
      </c>
      <c r="Q6" s="298" t="s">
        <v>92</v>
      </c>
    </row>
    <row r="7" spans="1:17" ht="30" customHeight="1" x14ac:dyDescent="0.25">
      <c r="A7" s="302"/>
      <c r="B7" s="302"/>
      <c r="C7" s="302"/>
      <c r="D7" s="303"/>
      <c r="E7" s="302"/>
      <c r="F7" s="302"/>
      <c r="G7" s="302"/>
      <c r="H7" s="302"/>
      <c r="I7" s="302"/>
      <c r="J7" s="302"/>
      <c r="K7" s="302"/>
      <c r="M7" s="299"/>
      <c r="N7" s="298"/>
      <c r="O7" s="300"/>
      <c r="P7" s="298"/>
      <c r="Q7" s="298"/>
    </row>
    <row r="8" spans="1:17" ht="168" customHeight="1" x14ac:dyDescent="0.25">
      <c r="A8" s="195" t="s">
        <v>123</v>
      </c>
      <c r="B8" s="145" t="s">
        <v>124</v>
      </c>
      <c r="C8" s="143" t="s">
        <v>125</v>
      </c>
      <c r="D8" s="153">
        <v>42005</v>
      </c>
      <c r="E8" s="142" t="s">
        <v>56</v>
      </c>
      <c r="F8" s="142" t="s">
        <v>56</v>
      </c>
      <c r="G8" s="142"/>
      <c r="H8" s="143" t="s">
        <v>126</v>
      </c>
      <c r="I8" s="142" t="s">
        <v>63</v>
      </c>
      <c r="J8" s="144"/>
      <c r="K8" s="152"/>
      <c r="M8" s="168" t="s">
        <v>127</v>
      </c>
      <c r="N8" s="143" t="s">
        <v>128</v>
      </c>
      <c r="O8" s="170">
        <v>15740</v>
      </c>
      <c r="P8" s="171">
        <v>0.2</v>
      </c>
      <c r="Q8" s="172">
        <f>IF(M8="Mensa: Fleischgerichte durch vegetarische Gerichte ersetzen",Ernährung!O8*Ernährung!P8*Faktoren!$E$23,0)+IF(M8="Mensa: Fleischgerichte durch vegane Gerichte ersetzen",Ernährung!O8*Ernährung!P8*Faktoren!$E$24,0)+IF(M8="Mensa: Vegetarische Gerichte durch vegane Gerichte ersetzen",Ernährung!O8*Ernährung!P8*Faktoren!$E$25,0)+IF(M8="Pausenverkauf: Wurstbrötchen durch vegetarisch belegte Brötchen ersetzen",Ernährung!O8*Ernährung!P8*Faktoren!$E$26,0)+IF(M8="Pausenverkauf: Wurstbrötchen durch vegan belegte Brötchen ersetzen",Ernährung!O8*Ernährung!P8*Faktoren!$E$27,0)+IF(M8="Pausenverkauf: Vegetarisch belegte Brötchen durch vegan belegte Brötchen ersetzen",Ernährung!O8*Ernährung!P8*Faktoren!$E$28,0)+IF(M8="Pausenverkauf: Wurstverkauf (Wiener, Bockwurst) reduzieren",Ernährung!O8*Ernährung!P8*Faktoren!$E$29,0)+IF(M8="Kaffeekonsum reduzieren (in kg)",Ernährung!O8*Ernährung!P8*Faktoren!$E$30,0)+IF(M8="Kaffeekonsum reduzieren (in Liter)",Ernährung!O8*Ernährung!P8*Faktoren!$E$31,0)+IF(M8="Milchverbrauch reduzieren",Ernährung!O8*Ernährung!P8*Faktoren!$E$32,0)+IF(M8="Milch durch veganes Milchgetränk ersetzen",Ernährung!O8*Ernährung!P8*Faktoren!$E$33,0)+IF(M8="Getränkeautomat durch Trinkwasserspender ersetzen",Ernährung!O8*Ernährung!P8*Faktoren!$E$34,0)</f>
        <v>1620.7509480000001</v>
      </c>
    </row>
    <row r="9" spans="1:17" ht="136.5" customHeight="1" x14ac:dyDescent="0.25">
      <c r="A9" s="185" t="s">
        <v>129</v>
      </c>
      <c r="B9" s="208" t="s">
        <v>130</v>
      </c>
      <c r="C9" s="143" t="s">
        <v>131</v>
      </c>
      <c r="D9" s="153">
        <v>42005</v>
      </c>
      <c r="E9" s="142" t="s">
        <v>56</v>
      </c>
      <c r="F9" s="142" t="s">
        <v>56</v>
      </c>
      <c r="G9" s="142"/>
      <c r="H9" s="143" t="s">
        <v>71</v>
      </c>
      <c r="I9" s="142" t="s">
        <v>58</v>
      </c>
      <c r="J9" s="144"/>
      <c r="K9" s="152"/>
      <c r="M9" s="168"/>
      <c r="N9" s="143"/>
      <c r="O9" s="170"/>
      <c r="P9" s="171"/>
      <c r="Q9" s="172">
        <f>IF(M9="Mensa: Fleischgerichte durch vegetarische Gerichte ersetzen",Ernährung!O9*Ernährung!P9*Faktoren!$E$23,0)+IF(M9="Mensa: Fleischgerichte durch vegane Gerichte ersetzen",Ernährung!O9*Ernährung!P9*Faktoren!$E$24,0)+IF(M9="Mensa: Vegetarische Gerichte durch vegane Gerichte ersetzen",Ernährung!O9*Ernährung!P9*Faktoren!$E$25,0)+IF(M9="Pausenverkauf: Wurstbrötchen durch vegetarisch belegte Brötchen ersetzen",Ernährung!O9*Ernährung!P9*Faktoren!$E$26,0)+IF(M9="Pausenverkauf: Wurstbrötchen durch vegan belegte Brötchen ersetzen",Ernährung!O9*Ernährung!P9*Faktoren!$E$27,0)+IF(M9="Pausenverkauf: Vegetarisch belegte Brötchen durch vegan belegte Brötchen ersetzen",Ernährung!O9*Ernährung!P9*Faktoren!$E$28,0)+IF(M9="Pausenverkauf: Wurstverkauf (Wiener, Bockwurst) reduzieren",Ernährung!O9*Ernährung!P9*Faktoren!$E$29,0)+IF(M9="Kaffeekonsum reduzieren (in kg)",Ernährung!O9*Ernährung!P9*Faktoren!$E$30,0)+IF(M9="Kaffeekonsum reduzieren (in Liter)",Ernährung!O9*Ernährung!P9*Faktoren!$E$31,0)+IF(M9="Milchverbrauch reduzieren",Ernährung!O9*Ernährung!P9*Faktoren!$E$32,0)+IF(M9="Milch durch veganes Milchgetränk ersetzen",Ernährung!O9*Ernährung!P9*Faktoren!$E$33,0)+IF(M9="Getränkeautomat durch Trinkwasserspender ersetzen",Ernährung!O9*Ernährung!P9*Faktoren!$E$34,0)</f>
        <v>0</v>
      </c>
    </row>
    <row r="10" spans="1:17" ht="148.5" customHeight="1" x14ac:dyDescent="0.25">
      <c r="A10" s="195" t="s">
        <v>132</v>
      </c>
      <c r="B10" s="145" t="s">
        <v>133</v>
      </c>
      <c r="C10" s="143" t="s">
        <v>134</v>
      </c>
      <c r="D10" s="153">
        <v>42005</v>
      </c>
      <c r="E10" s="142" t="s">
        <v>56</v>
      </c>
      <c r="F10" s="142" t="s">
        <v>56</v>
      </c>
      <c r="G10" s="142"/>
      <c r="H10" s="143" t="s">
        <v>102</v>
      </c>
      <c r="I10" s="142" t="s">
        <v>58</v>
      </c>
      <c r="J10" s="144"/>
      <c r="K10" s="152"/>
      <c r="M10" s="168"/>
      <c r="N10" s="143"/>
      <c r="O10" s="170"/>
      <c r="P10" s="171"/>
      <c r="Q10" s="172">
        <f>IF(M10="Mensa: Fleischgerichte durch vegetarische Gerichte ersetzen",Ernährung!O10*Ernährung!P10*Faktoren!$E$23,0)+IF(M10="Mensa: Fleischgerichte durch vegane Gerichte ersetzen",Ernährung!O10*Ernährung!P10*Faktoren!$E$24,0)+IF(M10="Mensa: Vegetarische Gerichte durch vegane Gerichte ersetzen",Ernährung!O10*Ernährung!P10*Faktoren!$E$25,0)+IF(M10="Pausenverkauf: Wurstbrötchen durch vegetarisch belegte Brötchen ersetzen",Ernährung!O10*Ernährung!P10*Faktoren!$E$26,0)+IF(M10="Pausenverkauf: Wurstbrötchen durch vegan belegte Brötchen ersetzen",Ernährung!O10*Ernährung!P10*Faktoren!$E$27,0)+IF(M10="Pausenverkauf: Vegetarisch belegte Brötchen durch vegan belegte Brötchen ersetzen",Ernährung!O10*Ernährung!P10*Faktoren!$E$28,0)+IF(M10="Pausenverkauf: Wurstverkauf (Wiener, Bockwurst) reduzieren",Ernährung!O10*Ernährung!P10*Faktoren!$E$29,0)+IF(M10="Kaffeekonsum reduzieren (in kg)",Ernährung!O10*Ernährung!P10*Faktoren!$E$30,0)+IF(M10="Kaffeekonsum reduzieren (in Liter)",Ernährung!O10*Ernährung!P10*Faktoren!$E$31,0)+IF(M10="Milchverbrauch reduzieren",Ernährung!O10*Ernährung!P10*Faktoren!$E$32,0)+IF(M10="Milch durch veganes Milchgetränk ersetzen",Ernährung!O10*Ernährung!P10*Faktoren!$E$33,0)+IF(M10="Getränkeautomat durch Trinkwasserspender ersetzen",Ernährung!O10*Ernährung!P10*Faktoren!$E$34,0)</f>
        <v>0</v>
      </c>
    </row>
    <row r="11" spans="1:17" ht="126" customHeight="1" x14ac:dyDescent="0.25">
      <c r="A11" s="195" t="s">
        <v>135</v>
      </c>
      <c r="B11" s="145" t="s">
        <v>136</v>
      </c>
      <c r="C11" s="209" t="s">
        <v>137</v>
      </c>
      <c r="D11" s="153">
        <v>45170</v>
      </c>
      <c r="E11" s="142" t="s">
        <v>56</v>
      </c>
      <c r="F11" s="142" t="s">
        <v>56</v>
      </c>
      <c r="G11" s="142"/>
      <c r="H11" s="143" t="s">
        <v>138</v>
      </c>
      <c r="I11" s="142" t="s">
        <v>58</v>
      </c>
      <c r="J11" s="144"/>
      <c r="K11" s="152"/>
      <c r="M11" s="168"/>
      <c r="N11" s="143"/>
      <c r="O11" s="170"/>
      <c r="P11" s="171"/>
      <c r="Q11" s="172">
        <f>IF(M11="Mensa: Fleischgerichte durch vegetarische Gerichte ersetzen",Ernährung!O11*Ernährung!P11*Faktoren!$E$23,0)+IF(M11="Mensa: Fleischgerichte durch vegane Gerichte ersetzen",Ernährung!O11*Ernährung!P11*Faktoren!$E$24,0)+IF(M11="Mensa: Vegetarische Gerichte durch vegane Gerichte ersetzen",Ernährung!O11*Ernährung!P11*Faktoren!$E$25,0)+IF(M11="Pausenverkauf: Wurstbrötchen durch vegetarisch belegte Brötchen ersetzen",Ernährung!O11*Ernährung!P11*Faktoren!$E$26,0)+IF(M11="Pausenverkauf: Wurstbrötchen durch vegan belegte Brötchen ersetzen",Ernährung!O11*Ernährung!P11*Faktoren!$E$27,0)+IF(M11="Pausenverkauf: Vegetarisch belegte Brötchen durch vegan belegte Brötchen ersetzen",Ernährung!O11*Ernährung!P11*Faktoren!$E$28,0)+IF(M11="Pausenverkauf: Wurstverkauf (Wiener, Bockwurst) reduzieren",Ernährung!O11*Ernährung!P11*Faktoren!$E$29,0)+IF(M11="Kaffeekonsum reduzieren (in kg)",Ernährung!O11*Ernährung!P11*Faktoren!$E$30,0)+IF(M11="Kaffeekonsum reduzieren (in Liter)",Ernährung!O11*Ernährung!P11*Faktoren!$E$31,0)+IF(M11="Milchverbrauch reduzieren",Ernährung!O11*Ernährung!P11*Faktoren!$E$32,0)+IF(M11="Milch durch veganes Milchgetränk ersetzen",Ernährung!O11*Ernährung!P11*Faktoren!$E$33,0)+IF(M11="Getränkeautomat durch Trinkwasserspender ersetzen",Ernährung!O11*Ernährung!P11*Faktoren!$E$34,0)</f>
        <v>0</v>
      </c>
    </row>
    <row r="12" spans="1:17" ht="99.6" customHeight="1" x14ac:dyDescent="0.25">
      <c r="A12" s="195" t="s">
        <v>128</v>
      </c>
      <c r="B12" s="141" t="s">
        <v>139</v>
      </c>
      <c r="C12" s="211" t="s">
        <v>140</v>
      </c>
      <c r="D12" s="212">
        <v>45413</v>
      </c>
      <c r="E12" s="142" t="s">
        <v>81</v>
      </c>
      <c r="F12" s="142" t="s">
        <v>56</v>
      </c>
      <c r="G12" s="142"/>
      <c r="H12" s="142" t="s">
        <v>71</v>
      </c>
      <c r="I12" s="142" t="s">
        <v>58</v>
      </c>
      <c r="J12" s="144">
        <v>1621</v>
      </c>
      <c r="K12" s="152">
        <v>2026</v>
      </c>
      <c r="M12" s="168"/>
      <c r="N12" s="143"/>
      <c r="O12" s="170"/>
      <c r="P12" s="171"/>
      <c r="Q12" s="172">
        <f>M1</f>
        <v>0</v>
      </c>
    </row>
    <row r="13" spans="1:17" ht="148.5" customHeight="1" x14ac:dyDescent="0.25">
      <c r="A13" s="185" t="s">
        <v>141</v>
      </c>
      <c r="B13" s="145" t="s">
        <v>142</v>
      </c>
      <c r="C13" s="143" t="s">
        <v>143</v>
      </c>
      <c r="D13" s="153">
        <v>45901</v>
      </c>
      <c r="E13" s="142" t="s">
        <v>75</v>
      </c>
      <c r="F13" s="142" t="s">
        <v>75</v>
      </c>
      <c r="G13" s="142"/>
      <c r="H13" s="143" t="s">
        <v>102</v>
      </c>
      <c r="I13" s="142" t="s">
        <v>58</v>
      </c>
      <c r="J13" s="144"/>
      <c r="K13" s="152"/>
      <c r="M13" s="168"/>
      <c r="N13" s="143"/>
      <c r="O13" s="170"/>
      <c r="P13" s="171"/>
      <c r="Q13" s="172">
        <f>IF(M13="Mensa: Fleischgerichte durch vegetarische Gerichte ersetzen",Ernährung!O13*Ernährung!P13*Faktoren!$E$23,0)+IF(M13="Mensa: Fleischgerichte durch vegane Gerichte ersetzen",Ernährung!O13*Ernährung!P13*Faktoren!$E$24,0)+IF(M13="Mensa: Vegetarische Gerichte durch vegane Gerichte ersetzen",Ernährung!O13*Ernährung!P13*Faktoren!$E$25,0)+IF(M13="Pausenverkauf: Wurstbrötchen durch vegetarisch belegte Brötchen ersetzen",Ernährung!O13*Ernährung!P13*Faktoren!$E$26,0)+IF(M13="Pausenverkauf: Wurstbrötchen durch vegan belegte Brötchen ersetzen",Ernährung!O13*Ernährung!P13*Faktoren!$E$27,0)+IF(M13="Pausenverkauf: Vegetarisch belegte Brötchen durch vegan belegte Brötchen ersetzen",Ernährung!O13*Ernährung!P13*Faktoren!$E$28,0)+IF(M13="Pausenverkauf: Wurstverkauf (Wiener, Bockwurst) reduzieren",Ernährung!O13*Ernährung!P13*Faktoren!$E$29,0)+IF(M13="Kaffeekonsum reduzieren (in kg)",Ernährung!O13*Ernährung!P13*Faktoren!$E$30,0)+IF(M13="Kaffeekonsum reduzieren (in Liter)",Ernährung!O13*Ernährung!P13*Faktoren!$E$31,0)+IF(M13="Milchverbrauch reduzieren",Ernährung!O13*Ernährung!P13*Faktoren!$E$32,0)+IF(M13="Milch durch veganes Milchgetränk ersetzen",Ernährung!O13*Ernährung!P13*Faktoren!$E$33,0)+IF(M13="Getränkeautomat durch Trinkwasserspender ersetzen",Ernährung!O13*Ernährung!P13*Faktoren!$E$34,0)</f>
        <v>0</v>
      </c>
    </row>
    <row r="14" spans="1:17" ht="133.5" customHeight="1" x14ac:dyDescent="0.25">
      <c r="A14" s="185" t="s">
        <v>144</v>
      </c>
      <c r="B14" s="141" t="s">
        <v>145</v>
      </c>
      <c r="C14" s="211" t="s">
        <v>146</v>
      </c>
      <c r="D14" s="213">
        <v>46266</v>
      </c>
      <c r="E14" s="142"/>
      <c r="F14" s="142" t="s">
        <v>80</v>
      </c>
      <c r="G14" s="142"/>
      <c r="H14" s="142" t="s">
        <v>147</v>
      </c>
      <c r="I14" s="142" t="s">
        <v>58</v>
      </c>
      <c r="J14" s="144"/>
      <c r="K14" s="152"/>
      <c r="M14" s="168"/>
      <c r="N14" s="143"/>
      <c r="O14" s="170"/>
      <c r="P14" s="171"/>
      <c r="Q14" s="172"/>
    </row>
    <row r="15" spans="1:17" ht="128.25" customHeight="1" x14ac:dyDescent="0.25">
      <c r="A15" s="185" t="s">
        <v>148</v>
      </c>
      <c r="B15" s="145" t="s">
        <v>149</v>
      </c>
      <c r="C15" s="143" t="s">
        <v>150</v>
      </c>
      <c r="D15" s="153">
        <v>46631</v>
      </c>
      <c r="E15" s="142"/>
      <c r="F15" s="142" t="s">
        <v>80</v>
      </c>
      <c r="G15" s="142"/>
      <c r="H15" s="143" t="s">
        <v>151</v>
      </c>
      <c r="I15" s="142" t="s">
        <v>58</v>
      </c>
      <c r="J15" s="144"/>
      <c r="K15" s="152"/>
      <c r="M15" s="168"/>
      <c r="N15" s="143"/>
      <c r="O15" s="170"/>
      <c r="P15" s="171"/>
      <c r="Q15" s="172">
        <f>IF(M15="Mensa: Fleischgerichte durch vegetarische Gerichte ersetzen",Ernährung!O15*Ernährung!P15*Faktoren!$E$23,0)+IF(M15="Mensa: Fleischgerichte durch vegane Gerichte ersetzen",Ernährung!O15*Ernährung!P15*Faktoren!$E$24,0)+IF(M15="Mensa: Vegetarische Gerichte durch vegane Gerichte ersetzen",Ernährung!O15*Ernährung!P15*Faktoren!$E$25,0)+IF(M15="Pausenverkauf: Wurstbrötchen durch vegetarisch belegte Brötchen ersetzen",Ernährung!O15*Ernährung!P15*Faktoren!$E$26,0)+IF(M15="Pausenverkauf: Wurstbrötchen durch vegan belegte Brötchen ersetzen",Ernährung!O15*Ernährung!P15*Faktoren!$E$27,0)+IF(M15="Pausenverkauf: Vegetarisch belegte Brötchen durch vegan belegte Brötchen ersetzen",Ernährung!O15*Ernährung!P15*Faktoren!$E$28,0)+IF(M15="Pausenverkauf: Wurstverkauf (Wiener, Bockwurst) reduzieren",Ernährung!O15*Ernährung!P15*Faktoren!$E$29,0)+IF(M15="Kaffeekonsum reduzieren (in kg)",Ernährung!O15*Ernährung!P15*Faktoren!$E$30,0)+IF(M15="Kaffeekonsum reduzieren (in Liter)",Ernährung!O15*Ernährung!P15*Faktoren!$E$31,0)+IF(M15="Milchverbrauch reduzieren",Ernährung!O15*Ernährung!P15*Faktoren!$E$32,0)+IF(M15="Milch durch veganes Milchgetränk ersetzen",Ernährung!O15*Ernährung!P15*Faktoren!$E$33,0)+IF(M15="Getränkeautomat durch Trinkwasserspender ersetzen",Ernährung!O15*Ernährung!P15*Faktoren!$E$34,0)</f>
        <v>0</v>
      </c>
    </row>
    <row r="16" spans="1:17" ht="24" customHeight="1" x14ac:dyDescent="0.25">
      <c r="A16" s="147"/>
      <c r="B16" s="148"/>
      <c r="C16" s="149"/>
      <c r="D16" s="148"/>
      <c r="E16" s="149"/>
      <c r="F16" s="149"/>
      <c r="G16" s="149"/>
      <c r="H16" s="149"/>
      <c r="I16" s="150" t="s">
        <v>87</v>
      </c>
      <c r="J16" s="151">
        <f>SUM(J11:J15)</f>
        <v>1621</v>
      </c>
      <c r="K16" s="151"/>
    </row>
    <row r="34" spans="12:16" x14ac:dyDescent="0.25">
      <c r="L34" s="1"/>
      <c r="M34" s="1"/>
      <c r="N34" s="1"/>
      <c r="O34" s="1"/>
      <c r="P34" s="1"/>
    </row>
    <row r="35" spans="12:16" x14ac:dyDescent="0.25">
      <c r="L35" s="21"/>
      <c r="M35" s="73"/>
      <c r="N35" s="73"/>
      <c r="O35" s="23"/>
      <c r="P35" s="71"/>
    </row>
    <row r="36" spans="12:16" x14ac:dyDescent="0.25">
      <c r="L36" s="21"/>
      <c r="M36" s="73"/>
      <c r="N36" s="73"/>
      <c r="O36" s="23"/>
      <c r="P36" s="71"/>
    </row>
    <row r="37" spans="12:16" x14ac:dyDescent="0.25">
      <c r="L37" s="21"/>
      <c r="M37" s="73"/>
      <c r="N37" s="73"/>
      <c r="O37" s="23"/>
      <c r="P37" s="71"/>
    </row>
    <row r="38" spans="12:16" x14ac:dyDescent="0.25">
      <c r="L38" s="21"/>
      <c r="M38" s="70"/>
      <c r="N38" s="70"/>
      <c r="O38" s="29"/>
      <c r="P38" s="71"/>
    </row>
    <row r="39" spans="12:16" x14ac:dyDescent="0.25">
      <c r="L39" s="21"/>
      <c r="M39" s="70"/>
      <c r="N39" s="70"/>
      <c r="O39" s="29"/>
      <c r="P39" s="71"/>
    </row>
    <row r="40" spans="12:16" x14ac:dyDescent="0.25">
      <c r="L40" s="21"/>
      <c r="M40" s="70"/>
      <c r="N40" s="70"/>
      <c r="O40" s="29"/>
      <c r="P40" s="71"/>
    </row>
    <row r="41" spans="12:16" x14ac:dyDescent="0.25">
      <c r="L41" s="21"/>
      <c r="M41" s="70"/>
      <c r="N41" s="70"/>
      <c r="O41" s="29"/>
      <c r="P41" s="71"/>
    </row>
    <row r="42" spans="12:16" x14ac:dyDescent="0.25">
      <c r="L42" s="74"/>
      <c r="M42" s="70"/>
      <c r="N42" s="70"/>
      <c r="O42" s="23"/>
      <c r="P42" s="71"/>
    </row>
    <row r="43" spans="12:16" x14ac:dyDescent="0.25">
      <c r="L43" s="22"/>
      <c r="M43" s="70"/>
      <c r="N43" s="70"/>
      <c r="O43" s="23"/>
      <c r="P43" s="71"/>
    </row>
    <row r="44" spans="12:16" x14ac:dyDescent="0.25">
      <c r="L44" s="22"/>
      <c r="M44" s="70"/>
      <c r="N44" s="70"/>
      <c r="O44" s="23"/>
      <c r="P44" s="71"/>
    </row>
    <row r="45" spans="12:16" x14ac:dyDescent="0.25">
      <c r="L45" s="22"/>
      <c r="M45" s="70"/>
      <c r="N45" s="70"/>
      <c r="O45" s="23"/>
      <c r="P45" s="71"/>
    </row>
    <row r="46" spans="12:16" x14ac:dyDescent="0.25">
      <c r="L46" s="22"/>
      <c r="M46" s="70"/>
      <c r="N46" s="70"/>
      <c r="O46" s="23"/>
      <c r="P46" s="71"/>
    </row>
    <row r="47" spans="12:16" x14ac:dyDescent="0.25">
      <c r="L47" s="21"/>
      <c r="M47" s="70"/>
      <c r="N47" s="70"/>
      <c r="O47" s="1"/>
      <c r="P47" s="71"/>
    </row>
    <row r="48" spans="12:16" x14ac:dyDescent="0.25">
      <c r="L48" s="75"/>
      <c r="M48" s="70"/>
      <c r="N48" s="70"/>
      <c r="O48" s="1"/>
      <c r="P48" s="71"/>
    </row>
    <row r="49" spans="12:16" x14ac:dyDescent="0.25">
      <c r="L49" s="21"/>
      <c r="M49" s="70"/>
      <c r="N49" s="70"/>
      <c r="O49" s="1"/>
      <c r="P49" s="71"/>
    </row>
    <row r="50" spans="12:16" x14ac:dyDescent="0.25">
      <c r="L50" s="21"/>
      <c r="M50" s="70"/>
      <c r="N50" s="70"/>
      <c r="O50" s="1"/>
      <c r="P50" s="71"/>
    </row>
    <row r="51" spans="12:16" x14ac:dyDescent="0.25">
      <c r="L51" s="21"/>
      <c r="M51" s="70"/>
      <c r="N51" s="70"/>
      <c r="O51" s="1"/>
      <c r="P51" s="71"/>
    </row>
    <row r="52" spans="12:16" x14ac:dyDescent="0.25">
      <c r="L52" s="21"/>
      <c r="M52" s="70"/>
      <c r="N52" s="70"/>
      <c r="O52" s="1"/>
      <c r="P52" s="71"/>
    </row>
    <row r="53" spans="12:16" x14ac:dyDescent="0.25">
      <c r="L53" s="21"/>
      <c r="M53" s="70"/>
      <c r="N53" s="70"/>
      <c r="O53" s="1"/>
      <c r="P53" s="71"/>
    </row>
    <row r="54" spans="12:16" x14ac:dyDescent="0.25">
      <c r="L54" s="21"/>
      <c r="M54" s="70"/>
      <c r="N54" s="70"/>
      <c r="O54" s="1"/>
      <c r="P54" s="71"/>
    </row>
  </sheetData>
  <sheetProtection selectLockedCells="1"/>
  <mergeCells count="16">
    <mergeCell ref="H6:H7"/>
    <mergeCell ref="I6:I7"/>
    <mergeCell ref="K6:K7"/>
    <mergeCell ref="J6:J7"/>
    <mergeCell ref="A6:A7"/>
    <mergeCell ref="F6:F7"/>
    <mergeCell ref="G6:G7"/>
    <mergeCell ref="B6:B7"/>
    <mergeCell ref="C6:C7"/>
    <mergeCell ref="D6:D7"/>
    <mergeCell ref="E6:E7"/>
    <mergeCell ref="N6:N7"/>
    <mergeCell ref="M6:M7"/>
    <mergeCell ref="O6:O7"/>
    <mergeCell ref="P6:P7"/>
    <mergeCell ref="Q6:Q7"/>
  </mergeCells>
  <phoneticPr fontId="2" type="noConversion"/>
  <conditionalFormatting sqref="E8:G15">
    <cfRule type="containsText" dxfId="94" priority="1" operator="containsText" text="Umsetzung nicht möglich">
      <formula>NOT(ISERROR(SEARCH("Umsetzung nicht möglich",E8)))</formula>
    </cfRule>
    <cfRule type="containsText" dxfId="93" priority="2" operator="containsText" text="bisher nicht umgesetzt">
      <formula>NOT(ISERROR(SEARCH("bisher nicht umgesetzt",E8)))</formula>
    </cfRule>
    <cfRule type="containsText" dxfId="92" priority="3" operator="containsText" text="zukünftiger Termin">
      <formula>NOT(ISERROR(SEARCH("zukünftiger Termin",E8)))</formula>
    </cfRule>
    <cfRule type="containsText" dxfId="91" priority="4" operator="containsText" text="In Umsetzung (Ende)">
      <formula>NOT(ISERROR(SEARCH("In Umsetzung (Ende)",E8)))</formula>
    </cfRule>
    <cfRule type="containsText" dxfId="90" priority="5" operator="containsText" text="In Umsetzung (Mitte)">
      <formula>NOT(ISERROR(SEARCH("In Umsetzung (Mitte)",E8)))</formula>
    </cfRule>
    <cfRule type="containsText" dxfId="89" priority="6" operator="containsText" text="In Umsetzung (Anfang)">
      <formula>NOT(ISERROR(SEARCH("In Umsetzung (Anfang)",E8)))</formula>
    </cfRule>
    <cfRule type="containsText" dxfId="88" priority="7" operator="containsText" text="umgesetzt">
      <formula>NOT(ISERROR(SEARCH("umgesetzt",E8)))</formula>
    </cfRule>
  </conditionalFormatting>
  <conditionalFormatting sqref="E10:G10">
    <cfRule type="containsText" dxfId="87" priority="8" operator="containsText" text="Umsetzung nicht möglich">
      <formula>NOT(ISERROR(SEARCH("Umsetzung nicht möglich",E10)))</formula>
    </cfRule>
  </conditionalFormatting>
  <conditionalFormatting sqref="O8:O15">
    <cfRule type="expression" dxfId="86" priority="9">
      <formula>M8="Getränkeautomat durch Trinkwasserspender ersetzen"</formula>
    </cfRule>
    <cfRule type="expression" dxfId="85" priority="10">
      <formula>M8="Milch durch veganes Milchgetränk ersetzen"</formula>
    </cfRule>
    <cfRule type="expression" dxfId="84" priority="11">
      <formula>M8="Milchverbauch reduzieren"</formula>
    </cfRule>
    <cfRule type="expression" dxfId="83" priority="12">
      <formula>M8="Kaffeekonsum reduzieren (in Liter)"</formula>
    </cfRule>
    <cfRule type="expression" dxfId="82" priority="13">
      <formula>M8="Kaffeekonsum reduzieren (in kg)"</formula>
    </cfRule>
    <cfRule type="expression" dxfId="81" priority="14">
      <formula>M8="Pausenverkauf: Wurstverkauf (Wiener, Bockwurst) reduzieren"</formula>
    </cfRule>
    <cfRule type="expression" dxfId="80" priority="15">
      <formula>M8="Pausenverkauf: Vegetarisch belegte Brötchen durch vegan belegte Brötchen ersetzen"</formula>
    </cfRule>
    <cfRule type="expression" dxfId="79" priority="16">
      <formula>M8="Pausenverkauf: Wurstbrötchen durch vegan belegte Brötchen ersetzen"</formula>
    </cfRule>
    <cfRule type="expression" dxfId="78" priority="17">
      <formula>M8="Pausenverkauf: Wurstbrötchen durch vegetarisch belegte Brötchen ersetzen"</formula>
    </cfRule>
    <cfRule type="expression" dxfId="77" priority="18">
      <formula>M8="Mensa: Fleischgerichte durch vegane Gerichte ersetzen"</formula>
    </cfRule>
    <cfRule type="expression" dxfId="76" priority="19">
      <formula>M8="Mensa: Fleischgerichte durch vegetarische Gerichte ersetzen"</formula>
    </cfRule>
    <cfRule type="expression" dxfId="75" priority="20">
      <formula>M8="Mensa: Vegetarische Gerichte durch vegane Gerichte ersetzen"</formula>
    </cfRule>
  </conditionalFormatting>
  <dataValidations count="3">
    <dataValidation type="list" allowBlank="1" showInputMessage="1" showErrorMessage="1" sqref="O35:O54" xr:uid="{CDB1456C-A8F2-40FC-8A33-D090FA1132C3}">
      <formula1>"10 %, 20 %, 30%, 40 %, 50 %, 60%, 70 %, 80 %, 90 %, 100 %"</formula1>
    </dataValidation>
    <dataValidation type="decimal" allowBlank="1" showInputMessage="1" showErrorMessage="1" sqref="P8:P15" xr:uid="{15C90AD4-BC07-41D3-A26C-1F8C61B86CBD}">
      <formula1>0</formula1>
      <formula2>1</formula2>
    </dataValidation>
    <dataValidation type="list" allowBlank="1" showInputMessage="1" showErrorMessage="1" sqref="N8:N15" xr:uid="{2FD396F6-77EE-47D0-A5A6-E85848DFD3D4}">
      <formula1>"ER1,ER2,ER3,ER4,ER5,ER6,ER7,ER8,ER9,ER10,ER11,ER12,ER13,ER14,ER15,ER16,ER17,ER18,ER19,ER20"</formula1>
    </dataValidation>
  </dataValidations>
  <pageMargins left="0.7" right="0.7" top="0.78740157499999996" bottom="0.78740157499999996"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B48471-2785-4197-8AD2-5C1C93BBB6AF}">
          <x14:formula1>
            <xm:f>Status!$A$2:$A$10</xm:f>
          </x14:formula1>
          <xm:sqref>E8:G15</xm:sqref>
        </x14:dataValidation>
        <x14:dataValidation type="list" allowBlank="1" showInputMessage="1" showErrorMessage="1" xr:uid="{3B425FE9-64EB-4448-93F1-2D57050379E9}">
          <x14:formula1>
            <xm:f>Faktoren!$C$23:$C$34</xm:f>
          </x14:formula1>
          <xm:sqref>M8:M17</xm:sqref>
        </x14:dataValidation>
        <x14:dataValidation type="list" allowBlank="1" showInputMessage="1" showErrorMessage="1" xr:uid="{2475CFFB-3F21-4BE3-8840-1FBF1E3A6342}">
          <x14:formula1>
            <xm:f>Status!$E$3:$E$8</xm:f>
          </x14:formula1>
          <xm:sqref>I8:I15</xm:sqref>
        </x14:dataValidation>
        <x14:dataValidation type="list" allowBlank="1" showInputMessage="1" showErrorMessage="1" xr:uid="{94F8CCA3-EACF-43B9-8C22-ADADB7E88C85}">
          <x14:formula1>
            <xm:f>Status!$H$3:$H$27</xm:f>
          </x14:formula1>
          <xm:sqref>K8:K15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tabColor rgb="FF5E8A43"/>
  </sheetPr>
  <dimension ref="A6:O21"/>
  <sheetViews>
    <sheetView showGridLines="0" zoomScale="56" zoomScaleNormal="130" workbookViewId="0">
      <selection activeCell="F8" sqref="F8"/>
    </sheetView>
  </sheetViews>
  <sheetFormatPr baseColWidth="10" defaultColWidth="11.42578125" defaultRowHeight="15" x14ac:dyDescent="0.25"/>
  <cols>
    <col min="1" max="1" width="4.7109375" customWidth="1"/>
    <col min="2" max="2" width="19.7109375" customWidth="1"/>
    <col min="3" max="3" width="27.7109375" customWidth="1"/>
    <col min="4" max="4" width="9.7109375" customWidth="1"/>
    <col min="5" max="7" width="11.7109375" customWidth="1"/>
    <col min="8" max="11" width="13.7109375" customWidth="1"/>
  </cols>
  <sheetData>
    <row r="6" spans="1:15" ht="30" customHeight="1" x14ac:dyDescent="0.25">
      <c r="A6" s="304" t="s">
        <v>40</v>
      </c>
      <c r="B6" s="304" t="s">
        <v>41</v>
      </c>
      <c r="C6" s="304" t="s">
        <v>88</v>
      </c>
      <c r="D6" s="304" t="s">
        <v>43</v>
      </c>
      <c r="E6" s="304" t="str">
        <f>"Status
1. Bewerbung"&amp;CHAR(10)&amp;Überblick!$F$14</f>
        <v>Status
1. Bewerbung
2025</v>
      </c>
      <c r="F6" s="304" t="str">
        <f>"Status
2. Bewerbung"&amp;CHAR(10)&amp;Überblick!$F$16</f>
        <v>Status
2. Bewerbung
2026</v>
      </c>
      <c r="G6" s="304" t="str">
        <f>"Status 
3. Bewerbung"&amp;CHAR(10)&amp;Überblick!$F$18</f>
        <v xml:space="preserve">Status 
3. Bewerbung
</v>
      </c>
      <c r="H6" s="304" t="s">
        <v>44</v>
      </c>
      <c r="I6" s="304" t="s">
        <v>45</v>
      </c>
      <c r="J6" s="304" t="s">
        <v>46</v>
      </c>
      <c r="K6" s="304" t="s">
        <v>47</v>
      </c>
    </row>
    <row r="7" spans="1:15" ht="30" customHeight="1" x14ac:dyDescent="0.25">
      <c r="A7" s="305"/>
      <c r="B7" s="305"/>
      <c r="C7" s="305"/>
      <c r="D7" s="305"/>
      <c r="E7" s="305"/>
      <c r="F7" s="305"/>
      <c r="G7" s="305"/>
      <c r="H7" s="305"/>
      <c r="I7" s="305"/>
      <c r="J7" s="305"/>
      <c r="K7" s="305"/>
    </row>
    <row r="8" spans="1:15" ht="50.1" customHeight="1" x14ac:dyDescent="0.25">
      <c r="A8" s="196" t="s">
        <v>152</v>
      </c>
      <c r="B8" s="141"/>
      <c r="C8" s="142"/>
      <c r="D8" s="143"/>
      <c r="E8" s="142"/>
      <c r="F8" s="142"/>
      <c r="G8" s="142"/>
      <c r="H8" s="142"/>
      <c r="I8" s="142"/>
      <c r="J8" s="155"/>
      <c r="K8" s="156"/>
    </row>
    <row r="9" spans="1:15" ht="50.1" customHeight="1" x14ac:dyDescent="0.25">
      <c r="A9" s="196" t="s">
        <v>153</v>
      </c>
      <c r="B9" s="145"/>
      <c r="C9" s="143"/>
      <c r="D9" s="143"/>
      <c r="E9" s="142"/>
      <c r="F9" s="142"/>
      <c r="G9" s="142"/>
      <c r="H9" s="143"/>
      <c r="I9" s="142"/>
      <c r="J9" s="155"/>
      <c r="K9" s="156"/>
    </row>
    <row r="10" spans="1:15" ht="50.1" customHeight="1" x14ac:dyDescent="0.25">
      <c r="A10" s="196" t="s">
        <v>154</v>
      </c>
      <c r="B10" s="145"/>
      <c r="C10" s="143"/>
      <c r="D10" s="143"/>
      <c r="E10" s="142"/>
      <c r="F10" s="142"/>
      <c r="G10" s="142"/>
      <c r="H10" s="143"/>
      <c r="I10" s="142"/>
      <c r="J10" s="155"/>
      <c r="K10" s="156"/>
    </row>
    <row r="11" spans="1:15" ht="50.1" customHeight="1" x14ac:dyDescent="0.25">
      <c r="A11" s="196" t="s">
        <v>155</v>
      </c>
      <c r="B11" s="145"/>
      <c r="C11" s="143"/>
      <c r="D11" s="143"/>
      <c r="E11" s="142"/>
      <c r="F11" s="142"/>
      <c r="G11" s="142"/>
      <c r="H11" s="143"/>
      <c r="I11" s="142"/>
      <c r="J11" s="155"/>
      <c r="K11" s="156"/>
    </row>
    <row r="12" spans="1:15" ht="50.1" customHeight="1" x14ac:dyDescent="0.25">
      <c r="A12" s="186" t="s">
        <v>156</v>
      </c>
      <c r="B12" s="145"/>
      <c r="C12" s="143"/>
      <c r="D12" s="143"/>
      <c r="E12" s="142"/>
      <c r="F12" s="142"/>
      <c r="G12" s="142"/>
      <c r="H12" s="143"/>
      <c r="I12" s="142"/>
      <c r="J12" s="155"/>
      <c r="K12" s="156"/>
    </row>
    <row r="13" spans="1:15" ht="24" customHeight="1" x14ac:dyDescent="0.25">
      <c r="A13" s="147"/>
      <c r="B13" s="148"/>
      <c r="C13" s="149"/>
      <c r="D13" s="148"/>
      <c r="E13" s="149"/>
      <c r="F13" s="149"/>
      <c r="G13" s="149"/>
      <c r="H13" s="149"/>
      <c r="I13" s="150"/>
      <c r="J13" s="151"/>
      <c r="K13" s="151"/>
    </row>
    <row r="14" spans="1:15" x14ac:dyDescent="0.25">
      <c r="O14" s="100"/>
    </row>
    <row r="15" spans="1:15" ht="15.75" x14ac:dyDescent="0.25">
      <c r="O15" s="101"/>
    </row>
    <row r="16" spans="1:15" x14ac:dyDescent="0.25">
      <c r="O16" s="102"/>
    </row>
    <row r="17" spans="15:15" x14ac:dyDescent="0.25">
      <c r="O17" s="103"/>
    </row>
    <row r="18" spans="15:15" x14ac:dyDescent="0.25">
      <c r="O18" s="102"/>
    </row>
    <row r="19" spans="15:15" x14ac:dyDescent="0.25">
      <c r="O19" s="103"/>
    </row>
    <row r="20" spans="15:15" x14ac:dyDescent="0.25">
      <c r="O20" s="102"/>
    </row>
    <row r="21" spans="15:15" x14ac:dyDescent="0.25">
      <c r="O21" s="103"/>
    </row>
  </sheetData>
  <sheetProtection selectLockedCells="1"/>
  <mergeCells count="11">
    <mergeCell ref="J6:J7"/>
    <mergeCell ref="K6:K7"/>
    <mergeCell ref="H6:H7"/>
    <mergeCell ref="I6:I7"/>
    <mergeCell ref="A6:A7"/>
    <mergeCell ref="B6:B7"/>
    <mergeCell ref="C6:C7"/>
    <mergeCell ref="D6:D7"/>
    <mergeCell ref="E6:E7"/>
    <mergeCell ref="F6:F7"/>
    <mergeCell ref="G6:G7"/>
  </mergeCells>
  <conditionalFormatting sqref="E8:G12">
    <cfRule type="containsText" dxfId="74" priority="1" operator="containsText" text="Umsetzung nicht möglich">
      <formula>NOT(ISERROR(SEARCH("Umsetzung nicht möglich",E8)))</formula>
    </cfRule>
    <cfRule type="containsText" dxfId="73" priority="2" operator="containsText" text="bisher nicht umgesetzt">
      <formula>NOT(ISERROR(SEARCH("bisher nicht umgesetzt",E8)))</formula>
    </cfRule>
    <cfRule type="containsText" dxfId="72" priority="3" operator="containsText" text="zukünftiger Termin">
      <formula>NOT(ISERROR(SEARCH("zukünftiger Termin",E8)))</formula>
    </cfRule>
    <cfRule type="containsText" dxfId="71" priority="4" operator="containsText" text="In Umsetzung (Ende)">
      <formula>NOT(ISERROR(SEARCH("In Umsetzung (Ende)",E8)))</formula>
    </cfRule>
    <cfRule type="containsText" dxfId="70" priority="5" operator="containsText" text="In Umsetzung (Mitte)">
      <formula>NOT(ISERROR(SEARCH("In Umsetzung (Mitte)",E8)))</formula>
    </cfRule>
    <cfRule type="containsText" dxfId="69" priority="6" operator="containsText" text="In Umsetzung (Anfang)">
      <formula>NOT(ISERROR(SEARCH("In Umsetzung (Anfang)",E8)))</formula>
    </cfRule>
    <cfRule type="containsText" dxfId="68" priority="7" operator="containsText" text="umgesetzt">
      <formula>NOT(ISERROR(SEARCH("umgesetzt",E8)))</formula>
    </cfRule>
  </conditionalFormatting>
  <conditionalFormatting sqref="E10:G10">
    <cfRule type="containsText" dxfId="67" priority="8" operator="containsText" text="Umsetzung nicht möglich">
      <formula>NOT(ISERROR(SEARCH("Umsetzung nicht möglich",E10)))</formula>
    </cfRule>
  </conditionalFormatting>
  <pageMargins left="0.7" right="0.7" top="0.78740157499999996" bottom="0.78740157499999996"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8ACADE8-578B-4D5A-993E-496A5D5DF687}">
          <x14:formula1>
            <xm:f>Status!$H$3:$H$27</xm:f>
          </x14:formula1>
          <xm:sqref>K8:K12</xm:sqref>
        </x14:dataValidation>
        <x14:dataValidation type="list" allowBlank="1" showInputMessage="1" showErrorMessage="1" xr:uid="{2C2CC87A-373B-495B-AD87-9281EE1512BA}">
          <x14:formula1>
            <xm:f>Status!$E$3:$E$8</xm:f>
          </x14:formula1>
          <xm:sqref>I8:I12</xm:sqref>
        </x14:dataValidation>
        <x14:dataValidation type="list" allowBlank="1" showInputMessage="1" showErrorMessage="1" xr:uid="{87917A66-7988-4000-9D20-B10172EF249D}">
          <x14:formula1>
            <xm:f>Status!$A$2:$A$10</xm:f>
          </x14:formula1>
          <xm:sqref>E8:G12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tabColor rgb="FFEF6D27"/>
  </sheetPr>
  <dimension ref="A1:O40"/>
  <sheetViews>
    <sheetView showGridLines="0" topLeftCell="A17" zoomScale="66" zoomScaleNormal="85" workbookViewId="0">
      <selection activeCell="C21" sqref="C21"/>
    </sheetView>
  </sheetViews>
  <sheetFormatPr baseColWidth="10" defaultColWidth="11.42578125" defaultRowHeight="15" x14ac:dyDescent="0.25"/>
  <cols>
    <col min="1" max="1" width="6" customWidth="1"/>
    <col min="2" max="2" width="19.7109375" customWidth="1"/>
    <col min="3" max="3" width="64.7109375" customWidth="1"/>
    <col min="4" max="4" width="9.7109375" customWidth="1"/>
    <col min="5" max="7" width="11.7109375" customWidth="1"/>
    <col min="8" max="8" width="21.42578125" customWidth="1"/>
    <col min="9" max="11" width="13.7109375" customWidth="1"/>
  </cols>
  <sheetData>
    <row r="1" spans="1:15" ht="15" customHeight="1" x14ac:dyDescent="0.25"/>
    <row r="2" spans="1:15" ht="15" customHeight="1" x14ac:dyDescent="0.25"/>
    <row r="3" spans="1:15" ht="15" customHeight="1" x14ac:dyDescent="0.25">
      <c r="O3" s="86"/>
    </row>
    <row r="4" spans="1:15" ht="15" customHeight="1" x14ac:dyDescent="0.25"/>
    <row r="5" spans="1:15" ht="15" customHeight="1" x14ac:dyDescent="0.25"/>
    <row r="6" spans="1:15" ht="30" customHeight="1" x14ac:dyDescent="0.25">
      <c r="A6" s="306" t="s">
        <v>40</v>
      </c>
      <c r="B6" s="306" t="s">
        <v>41</v>
      </c>
      <c r="C6" s="306" t="s">
        <v>88</v>
      </c>
      <c r="D6" s="306" t="s">
        <v>43</v>
      </c>
      <c r="E6" s="306" t="str">
        <f>"Status
1. Bewerbung"&amp;CHAR(10)&amp;Überblick!$F$14</f>
        <v>Status
1. Bewerbung
2025</v>
      </c>
      <c r="F6" s="306" t="str">
        <f>"Status
2. Bewerbung"&amp;CHAR(10)&amp;Überblick!$F$16</f>
        <v>Status
2. Bewerbung
2026</v>
      </c>
      <c r="G6" s="306" t="str">
        <f>"Status 
3. Bewerbung"&amp;CHAR(10)&amp;Überblick!$F$18</f>
        <v xml:space="preserve">Status 
3. Bewerbung
</v>
      </c>
      <c r="H6" s="306" t="s">
        <v>44</v>
      </c>
      <c r="I6" s="306" t="s">
        <v>45</v>
      </c>
      <c r="J6" s="306" t="s">
        <v>46</v>
      </c>
      <c r="K6" s="306" t="s">
        <v>47</v>
      </c>
    </row>
    <row r="7" spans="1:15" ht="30" customHeight="1" x14ac:dyDescent="0.25">
      <c r="A7" s="307"/>
      <c r="B7" s="307"/>
      <c r="C7" s="307"/>
      <c r="D7" s="307"/>
      <c r="E7" s="307"/>
      <c r="F7" s="307"/>
      <c r="G7" s="307"/>
      <c r="H7" s="307"/>
      <c r="I7" s="307"/>
      <c r="J7" s="307"/>
      <c r="K7" s="307"/>
    </row>
    <row r="8" spans="1:15" ht="82.5" customHeight="1" x14ac:dyDescent="0.25">
      <c r="A8" s="197" t="s">
        <v>157</v>
      </c>
      <c r="B8" s="145" t="s">
        <v>158</v>
      </c>
      <c r="C8" s="143" t="s">
        <v>159</v>
      </c>
      <c r="D8" s="153">
        <v>44805</v>
      </c>
      <c r="E8" s="142" t="s">
        <v>56</v>
      </c>
      <c r="F8" s="142" t="s">
        <v>56</v>
      </c>
      <c r="G8" s="142"/>
      <c r="H8" s="143" t="s">
        <v>160</v>
      </c>
      <c r="I8" s="142" t="s">
        <v>103</v>
      </c>
      <c r="J8" s="198"/>
      <c r="K8" s="199"/>
    </row>
    <row r="9" spans="1:15" ht="82.5" customHeight="1" x14ac:dyDescent="0.25">
      <c r="A9" s="197" t="s">
        <v>161</v>
      </c>
      <c r="B9" s="141" t="s">
        <v>162</v>
      </c>
      <c r="C9" s="142" t="s">
        <v>163</v>
      </c>
      <c r="D9" s="153">
        <v>45292</v>
      </c>
      <c r="E9" s="142" t="s">
        <v>56</v>
      </c>
      <c r="F9" s="142" t="s">
        <v>56</v>
      </c>
      <c r="G9" s="142"/>
      <c r="H9" s="142" t="s">
        <v>115</v>
      </c>
      <c r="I9" s="142" t="s">
        <v>164</v>
      </c>
      <c r="J9" s="198"/>
      <c r="K9" s="199"/>
    </row>
    <row r="10" spans="1:15" ht="82.5" customHeight="1" x14ac:dyDescent="0.25">
      <c r="A10" s="197" t="s">
        <v>165</v>
      </c>
      <c r="B10" s="145" t="s">
        <v>166</v>
      </c>
      <c r="C10" s="143" t="s">
        <v>167</v>
      </c>
      <c r="D10" s="153">
        <v>45292</v>
      </c>
      <c r="E10" s="142" t="s">
        <v>56</v>
      </c>
      <c r="F10" s="142" t="s">
        <v>56</v>
      </c>
      <c r="G10" s="142"/>
      <c r="H10" s="143" t="s">
        <v>168</v>
      </c>
      <c r="I10" s="142" t="s">
        <v>58</v>
      </c>
      <c r="J10" s="198"/>
      <c r="K10" s="199"/>
    </row>
    <row r="11" spans="1:15" ht="82.5" customHeight="1" x14ac:dyDescent="0.25">
      <c r="A11" s="197" t="s">
        <v>169</v>
      </c>
      <c r="B11" s="215" t="s">
        <v>170</v>
      </c>
      <c r="C11" s="216" t="s">
        <v>171</v>
      </c>
      <c r="D11" s="153">
        <v>45658</v>
      </c>
      <c r="E11" s="218" t="s">
        <v>81</v>
      </c>
      <c r="F11" s="218" t="s">
        <v>56</v>
      </c>
      <c r="G11" s="142"/>
      <c r="H11" s="143" t="s">
        <v>107</v>
      </c>
      <c r="I11" s="142" t="s">
        <v>58</v>
      </c>
      <c r="J11" s="241"/>
      <c r="K11" s="199"/>
    </row>
    <row r="12" spans="1:15" ht="82.5" customHeight="1" x14ac:dyDescent="0.25">
      <c r="A12" s="197" t="s">
        <v>172</v>
      </c>
      <c r="B12" s="145" t="s">
        <v>173</v>
      </c>
      <c r="C12" s="143" t="s">
        <v>174</v>
      </c>
      <c r="D12" s="153">
        <v>45901</v>
      </c>
      <c r="E12" s="142" t="s">
        <v>80</v>
      </c>
      <c r="F12" s="142" t="s">
        <v>56</v>
      </c>
      <c r="G12" s="142"/>
      <c r="H12" s="143" t="s">
        <v>175</v>
      </c>
      <c r="I12" s="142" t="s">
        <v>103</v>
      </c>
      <c r="J12" s="241"/>
      <c r="K12" s="199"/>
    </row>
    <row r="13" spans="1:15" ht="82.5" customHeight="1" x14ac:dyDescent="0.25">
      <c r="A13" s="197" t="s">
        <v>176</v>
      </c>
      <c r="B13" s="215" t="s">
        <v>177</v>
      </c>
      <c r="C13" s="216" t="s">
        <v>178</v>
      </c>
      <c r="D13" s="217">
        <v>45901</v>
      </c>
      <c r="E13" s="218" t="s">
        <v>80</v>
      </c>
      <c r="F13" s="218" t="s">
        <v>56</v>
      </c>
      <c r="G13" s="218"/>
      <c r="H13" s="216" t="s">
        <v>179</v>
      </c>
      <c r="I13" s="260" t="s">
        <v>58</v>
      </c>
      <c r="J13" s="263"/>
      <c r="K13" s="199"/>
    </row>
    <row r="14" spans="1:15" ht="82.5" customHeight="1" x14ac:dyDescent="0.25">
      <c r="A14" s="259" t="s">
        <v>180</v>
      </c>
      <c r="B14" s="222" t="s">
        <v>181</v>
      </c>
      <c r="C14" s="222" t="s">
        <v>182</v>
      </c>
      <c r="D14" s="238">
        <v>45901</v>
      </c>
      <c r="E14" s="222"/>
      <c r="F14" s="222" t="s">
        <v>56</v>
      </c>
      <c r="G14" s="222"/>
      <c r="H14" s="222" t="s">
        <v>175</v>
      </c>
      <c r="I14" s="262" t="s">
        <v>103</v>
      </c>
      <c r="J14" s="263"/>
      <c r="K14" s="257"/>
    </row>
    <row r="15" spans="1:15" ht="82.5" customHeight="1" x14ac:dyDescent="0.25">
      <c r="A15" s="271" t="s">
        <v>183</v>
      </c>
      <c r="B15" s="247" t="s">
        <v>184</v>
      </c>
      <c r="C15" s="247" t="s">
        <v>185</v>
      </c>
      <c r="D15" s="248">
        <v>46023</v>
      </c>
      <c r="E15" s="247"/>
      <c r="F15" s="247" t="s">
        <v>56</v>
      </c>
      <c r="G15" s="247"/>
      <c r="H15" s="247" t="s">
        <v>186</v>
      </c>
      <c r="I15" s="261" t="s">
        <v>58</v>
      </c>
      <c r="J15" s="263"/>
      <c r="K15" s="257"/>
    </row>
    <row r="16" spans="1:15" ht="82.5" customHeight="1" x14ac:dyDescent="0.25">
      <c r="A16" s="271" t="s">
        <v>187</v>
      </c>
      <c r="B16" s="261" t="s">
        <v>188</v>
      </c>
      <c r="C16" s="222" t="s">
        <v>189</v>
      </c>
      <c r="D16" s="272">
        <v>46023</v>
      </c>
      <c r="E16" s="247"/>
      <c r="F16" s="247" t="s">
        <v>56</v>
      </c>
      <c r="G16" s="247"/>
      <c r="H16" s="247" t="s">
        <v>190</v>
      </c>
      <c r="I16" s="261" t="s">
        <v>58</v>
      </c>
      <c r="J16" s="263"/>
      <c r="K16" s="257"/>
    </row>
    <row r="17" spans="1:14" ht="82.5" customHeight="1" x14ac:dyDescent="0.25">
      <c r="A17" s="271" t="s">
        <v>191</v>
      </c>
      <c r="B17" s="261" t="s">
        <v>192</v>
      </c>
      <c r="C17" s="222" t="s">
        <v>193</v>
      </c>
      <c r="D17" s="272">
        <v>46054</v>
      </c>
      <c r="E17" s="247"/>
      <c r="F17" s="247" t="s">
        <v>56</v>
      </c>
      <c r="G17" s="247"/>
      <c r="H17" s="247" t="s">
        <v>190</v>
      </c>
      <c r="I17" s="261" t="s">
        <v>58</v>
      </c>
      <c r="J17" s="263"/>
      <c r="K17" s="257"/>
    </row>
    <row r="18" spans="1:14" ht="82.5" customHeight="1" x14ac:dyDescent="0.25">
      <c r="A18" s="258" t="s">
        <v>194</v>
      </c>
      <c r="B18" s="261" t="s">
        <v>195</v>
      </c>
      <c r="C18" s="222" t="s">
        <v>196</v>
      </c>
      <c r="D18" s="272">
        <v>46113</v>
      </c>
      <c r="E18" s="247"/>
      <c r="F18" s="247" t="s">
        <v>81</v>
      </c>
      <c r="G18" s="247"/>
      <c r="H18" s="247" t="s">
        <v>197</v>
      </c>
      <c r="I18" s="261" t="s">
        <v>63</v>
      </c>
      <c r="J18" s="263"/>
      <c r="K18" s="199"/>
    </row>
    <row r="19" spans="1:14" ht="82.5" customHeight="1" x14ac:dyDescent="0.25">
      <c r="A19" s="271" t="s">
        <v>198</v>
      </c>
      <c r="B19" s="261" t="s">
        <v>199</v>
      </c>
      <c r="C19" s="222" t="s">
        <v>200</v>
      </c>
      <c r="D19" s="272">
        <v>46113</v>
      </c>
      <c r="E19" s="247"/>
      <c r="F19" s="247" t="s">
        <v>81</v>
      </c>
      <c r="G19" s="247"/>
      <c r="H19" s="247" t="s">
        <v>197</v>
      </c>
      <c r="I19" s="261" t="s">
        <v>58</v>
      </c>
      <c r="J19" s="263"/>
      <c r="K19" s="257"/>
    </row>
    <row r="20" spans="1:14" ht="82.5" customHeight="1" x14ac:dyDescent="0.25">
      <c r="A20" s="259" t="s">
        <v>201</v>
      </c>
      <c r="B20" s="222" t="s">
        <v>202</v>
      </c>
      <c r="C20" s="269" t="s">
        <v>203</v>
      </c>
      <c r="D20" s="238">
        <v>46266</v>
      </c>
      <c r="E20" s="222"/>
      <c r="F20" s="222" t="s">
        <v>80</v>
      </c>
      <c r="G20" s="222"/>
      <c r="H20" s="222" t="s">
        <v>204</v>
      </c>
      <c r="I20" s="262" t="s">
        <v>63</v>
      </c>
      <c r="J20" s="263"/>
      <c r="K20" s="257"/>
    </row>
    <row r="21" spans="1:14" ht="82.5" customHeight="1" x14ac:dyDescent="0.25">
      <c r="A21" s="259" t="s">
        <v>205</v>
      </c>
      <c r="B21" s="222"/>
      <c r="C21" s="222"/>
      <c r="D21" s="238"/>
      <c r="E21" s="222"/>
      <c r="F21" s="222"/>
      <c r="G21" s="222"/>
      <c r="H21" s="222"/>
      <c r="I21" s="262"/>
      <c r="J21" s="263"/>
      <c r="K21" s="257"/>
    </row>
    <row r="22" spans="1:14" ht="24" customHeight="1" x14ac:dyDescent="0.25">
      <c r="A22" s="154"/>
      <c r="B22" s="219"/>
      <c r="C22" s="220"/>
      <c r="D22" s="219"/>
      <c r="E22" s="220"/>
      <c r="F22" s="220"/>
      <c r="G22" s="220"/>
      <c r="H22" s="220"/>
      <c r="I22" s="221"/>
      <c r="J22" s="151"/>
      <c r="K22" s="151"/>
    </row>
    <row r="25" spans="1:14" x14ac:dyDescent="0.25">
      <c r="N25" s="14"/>
    </row>
    <row r="26" spans="1:14" x14ac:dyDescent="0.25">
      <c r="N26" s="14"/>
    </row>
    <row r="27" spans="1:14" x14ac:dyDescent="0.25">
      <c r="N27" s="14"/>
    </row>
    <row r="28" spans="1:14" x14ac:dyDescent="0.25">
      <c r="N28" s="14"/>
    </row>
    <row r="29" spans="1:14" x14ac:dyDescent="0.25">
      <c r="N29" s="14"/>
    </row>
    <row r="30" spans="1:14" x14ac:dyDescent="0.25">
      <c r="N30" s="14"/>
    </row>
    <row r="31" spans="1:14" x14ac:dyDescent="0.25">
      <c r="N31" s="14"/>
    </row>
    <row r="32" spans="1:14" x14ac:dyDescent="0.25">
      <c r="N32" s="14"/>
    </row>
    <row r="33" spans="14:14" x14ac:dyDescent="0.25">
      <c r="N33" s="14"/>
    </row>
    <row r="34" spans="14:14" x14ac:dyDescent="0.25">
      <c r="N34" s="85"/>
    </row>
    <row r="35" spans="14:14" x14ac:dyDescent="0.25">
      <c r="N35" s="14"/>
    </row>
    <row r="36" spans="14:14" x14ac:dyDescent="0.25">
      <c r="N36" s="14"/>
    </row>
    <row r="37" spans="14:14" x14ac:dyDescent="0.25">
      <c r="N37" s="14"/>
    </row>
    <row r="38" spans="14:14" x14ac:dyDescent="0.25">
      <c r="N38" s="14"/>
    </row>
    <row r="39" spans="14:14" x14ac:dyDescent="0.25">
      <c r="N39" s="14"/>
    </row>
    <row r="40" spans="14:14" x14ac:dyDescent="0.25">
      <c r="N40" s="14"/>
    </row>
  </sheetData>
  <sheetProtection selectLockedCells="1"/>
  <sortState xmlns:xlrd2="http://schemas.microsoft.com/office/spreadsheetml/2017/richdata2" ref="N25:N40">
    <sortCondition ref="N25:N40"/>
  </sortState>
  <mergeCells count="11">
    <mergeCell ref="J6:J7"/>
    <mergeCell ref="K6:K7"/>
    <mergeCell ref="H6:H7"/>
    <mergeCell ref="I6:I7"/>
    <mergeCell ref="A6:A7"/>
    <mergeCell ref="B6:B7"/>
    <mergeCell ref="C6:C7"/>
    <mergeCell ref="D6:D7"/>
    <mergeCell ref="E6:E7"/>
    <mergeCell ref="F6:F7"/>
    <mergeCell ref="G6:G7"/>
  </mergeCells>
  <conditionalFormatting sqref="E8:G21">
    <cfRule type="containsText" dxfId="66" priority="1" operator="containsText" text="Umsetzung nicht möglich">
      <formula>NOT(ISERROR(SEARCH("Umsetzung nicht möglich",E8)))</formula>
    </cfRule>
    <cfRule type="containsText" dxfId="65" priority="2" operator="containsText" text="bisher nicht umgesetzt">
      <formula>NOT(ISERROR(SEARCH("bisher nicht umgesetzt",E8)))</formula>
    </cfRule>
    <cfRule type="containsText" dxfId="64" priority="3" operator="containsText" text="zukünftiger Termin">
      <formula>NOT(ISERROR(SEARCH("zukünftiger Termin",E8)))</formula>
    </cfRule>
    <cfRule type="containsText" dxfId="63" priority="4" operator="containsText" text="In Umsetzung (Ende)">
      <formula>NOT(ISERROR(SEARCH("In Umsetzung (Ende)",E8)))</formula>
    </cfRule>
    <cfRule type="containsText" dxfId="62" priority="5" operator="containsText" text="In Umsetzung (Mitte)">
      <formula>NOT(ISERROR(SEARCH("In Umsetzung (Mitte)",E8)))</formula>
    </cfRule>
    <cfRule type="containsText" dxfId="61" priority="6" operator="containsText" text="In Umsetzung (Anfang)">
      <formula>NOT(ISERROR(SEARCH("In Umsetzung (Anfang)",E8)))</formula>
    </cfRule>
    <cfRule type="containsText" dxfId="60" priority="7" operator="containsText" text="umgesetzt">
      <formula>NOT(ISERROR(SEARCH("umgesetzt",E8)))</formula>
    </cfRule>
  </conditionalFormatting>
  <conditionalFormatting sqref="E12:G12">
    <cfRule type="containsText" dxfId="59" priority="29" operator="containsText" text="Umsetzung nicht möglich">
      <formula>NOT(ISERROR(SEARCH("Umsetzung nicht möglich",E12)))</formula>
    </cfRule>
  </conditionalFormatting>
  <pageMargins left="0.7" right="0.7" top="0.78740157499999996" bottom="0.78740157499999996"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A5FA5D1-4C2C-4B46-9150-E4CABFD5F140}">
          <x14:formula1>
            <xm:f>Status!$H$3:$H$27</xm:f>
          </x14:formula1>
          <xm:sqref>K8:K21</xm:sqref>
        </x14:dataValidation>
        <x14:dataValidation type="list" allowBlank="1" showInputMessage="1" showErrorMessage="1" xr:uid="{7CA113BE-0B5B-4B49-9BEE-D939DB043E87}">
          <x14:formula1>
            <xm:f>Status!$E$3:$E$8</xm:f>
          </x14:formula1>
          <xm:sqref>I8:I21</xm:sqref>
        </x14:dataValidation>
        <x14:dataValidation type="list" allowBlank="1" showInputMessage="1" showErrorMessage="1" xr:uid="{1E053662-083E-483F-9F31-6A0B8B900F3B}">
          <x14:formula1>
            <xm:f>Status!$A$2:$A$10</xm:f>
          </x14:formula1>
          <xm:sqref>E17:G21 F8:G16 E8:E10 E12:E16 E11:F11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1A2D-C6C1-43F9-AE0E-0F470DBDEE19}">
  <sheetPr codeName="Tabelle13"/>
  <dimension ref="B3:O164"/>
  <sheetViews>
    <sheetView topLeftCell="C32" zoomScale="101" zoomScaleNormal="80" workbookViewId="0">
      <selection activeCell="G46" sqref="G46"/>
    </sheetView>
  </sheetViews>
  <sheetFormatPr baseColWidth="10" defaultColWidth="11.42578125" defaultRowHeight="15" x14ac:dyDescent="0.25"/>
  <cols>
    <col min="2" max="2" width="24.5703125" bestFit="1" customWidth="1"/>
    <col min="3" max="3" width="67" customWidth="1"/>
    <col min="4" max="4" width="32.42578125" customWidth="1"/>
    <col min="5" max="5" width="39.42578125" customWidth="1"/>
    <col min="7" max="7" width="15" customWidth="1"/>
  </cols>
  <sheetData>
    <row r="3" spans="2:6" ht="32.25" customHeight="1" x14ac:dyDescent="0.25">
      <c r="B3" s="21" t="s">
        <v>206</v>
      </c>
      <c r="C3" s="21" t="s">
        <v>41</v>
      </c>
      <c r="D3" s="21" t="s">
        <v>207</v>
      </c>
      <c r="E3" s="21" t="s">
        <v>208</v>
      </c>
      <c r="F3" s="21" t="s">
        <v>209</v>
      </c>
    </row>
    <row r="4" spans="2:6" x14ac:dyDescent="0.25">
      <c r="B4" s="24" t="s">
        <v>210</v>
      </c>
      <c r="C4" s="24" t="s">
        <v>211</v>
      </c>
      <c r="D4" s="24" t="s">
        <v>212</v>
      </c>
      <c r="E4" s="27">
        <f>21.294*0.1</f>
        <v>2.1294</v>
      </c>
    </row>
    <row r="5" spans="2:6" x14ac:dyDescent="0.25">
      <c r="B5" s="24"/>
      <c r="C5" s="24" t="s">
        <v>213</v>
      </c>
      <c r="D5" s="24" t="s">
        <v>214</v>
      </c>
      <c r="E5" s="28">
        <f>E4*10</f>
        <v>21.294</v>
      </c>
    </row>
    <row r="6" spans="2:6" x14ac:dyDescent="0.25">
      <c r="B6" s="24"/>
      <c r="C6" s="24" t="s">
        <v>111</v>
      </c>
      <c r="D6" s="24" t="s">
        <v>212</v>
      </c>
      <c r="E6" s="27">
        <f>E7*0.2</f>
        <v>4.2587999999999999</v>
      </c>
    </row>
    <row r="7" spans="2:6" x14ac:dyDescent="0.25">
      <c r="B7" s="24"/>
      <c r="C7" s="24" t="s">
        <v>215</v>
      </c>
      <c r="D7" s="24" t="s">
        <v>214</v>
      </c>
      <c r="E7" s="28">
        <v>21.294</v>
      </c>
    </row>
    <row r="9" spans="2:6" x14ac:dyDescent="0.25">
      <c r="B9" t="s">
        <v>216</v>
      </c>
      <c r="C9" s="21" t="s">
        <v>97</v>
      </c>
      <c r="D9" t="s">
        <v>217</v>
      </c>
      <c r="E9" s="69">
        <f>'Übersicht Emissionsfaktoren'!E16-'Übersicht Emissionsfaktoren'!E17</f>
        <v>8.9812799999999977E-4</v>
      </c>
    </row>
    <row r="10" spans="2:6" x14ac:dyDescent="0.25">
      <c r="C10" s="21" t="s">
        <v>108</v>
      </c>
      <c r="E10" s="72">
        <f>'Übersicht Emissionsfaktoren'!E16</f>
        <v>4.58743824E-3</v>
      </c>
    </row>
    <row r="11" spans="2:6" x14ac:dyDescent="0.25">
      <c r="C11" s="21" t="s">
        <v>218</v>
      </c>
      <c r="E11" s="72">
        <f>'Übersicht Emissionsfaktoren'!E17</f>
        <v>3.6893102400000002E-3</v>
      </c>
    </row>
    <row r="12" spans="2:6" ht="30" x14ac:dyDescent="0.25">
      <c r="C12" s="21" t="s">
        <v>219</v>
      </c>
      <c r="E12" s="69">
        <f>'Übersicht Emissionsfaktoren'!E18-'Übersicht Emissionsfaktoren'!E20</f>
        <v>3.15E-2</v>
      </c>
    </row>
    <row r="13" spans="2:6" ht="30" x14ac:dyDescent="0.25">
      <c r="C13" s="21" t="s">
        <v>220</v>
      </c>
      <c r="E13" s="69">
        <f>'Übersicht Emissionsfaktoren'!E19-'Übersicht Emissionsfaktoren'!E21</f>
        <v>0.28350000000000009</v>
      </c>
    </row>
    <row r="14" spans="2:6" x14ac:dyDescent="0.25">
      <c r="C14" s="21" t="s">
        <v>221</v>
      </c>
      <c r="E14" s="69">
        <f>'Übersicht Emissionsfaktoren'!E19</f>
        <v>1.4480549999999999</v>
      </c>
    </row>
    <row r="15" spans="2:6" x14ac:dyDescent="0.25">
      <c r="C15" s="21" t="s">
        <v>222</v>
      </c>
      <c r="E15" s="69">
        <f>'Übersicht Emissionsfaktoren'!E21</f>
        <v>1.1645549999999998</v>
      </c>
    </row>
    <row r="16" spans="2:6" x14ac:dyDescent="0.25">
      <c r="C16" s="21" t="s">
        <v>223</v>
      </c>
      <c r="E16" s="69">
        <f>'Übersicht Emissionsfaktoren'!E18</f>
        <v>0.16089499999999998</v>
      </c>
    </row>
    <row r="17" spans="2:5" x14ac:dyDescent="0.25">
      <c r="C17" s="21" t="s">
        <v>224</v>
      </c>
      <c r="E17" s="69">
        <f>'Übersicht Emissionsfaktoren'!E20</f>
        <v>0.12939499999999998</v>
      </c>
    </row>
    <row r="18" spans="2:5" x14ac:dyDescent="0.25">
      <c r="C18" s="22" t="s">
        <v>225</v>
      </c>
      <c r="E18" s="68">
        <f>'Übersicht Emissionsfaktoren'!E22-'Übersicht Emissionsfaktoren'!E23</f>
        <v>3.6000743999999984E-4</v>
      </c>
    </row>
    <row r="19" spans="2:5" x14ac:dyDescent="0.25">
      <c r="C19" s="21" t="s">
        <v>226</v>
      </c>
      <c r="E19" s="72">
        <f>'Übersicht Emissionsfaktoren'!E22</f>
        <v>1.8387999999999998E-3</v>
      </c>
    </row>
    <row r="20" spans="2:5" x14ac:dyDescent="0.25">
      <c r="C20" s="21" t="s">
        <v>227</v>
      </c>
      <c r="E20" s="72">
        <f>'Übersicht Emissionsfaktoren'!E23</f>
        <v>1.47879256E-3</v>
      </c>
    </row>
    <row r="21" spans="2:5" x14ac:dyDescent="0.25">
      <c r="C21" s="21"/>
      <c r="E21" s="72"/>
    </row>
    <row r="23" spans="2:5" x14ac:dyDescent="0.25">
      <c r="B23" s="77" t="s">
        <v>228</v>
      </c>
      <c r="C23" s="21" t="s">
        <v>229</v>
      </c>
      <c r="E23" s="79">
        <f>'Übersicht Emissionsfaktoren'!E25-'Übersicht Emissionsfaktoren'!E24</f>
        <v>0.8</v>
      </c>
    </row>
    <row r="24" spans="2:5" x14ac:dyDescent="0.25">
      <c r="C24" s="21" t="s">
        <v>230</v>
      </c>
      <c r="E24" s="79">
        <f>'Übersicht Emissionsfaktoren'!E25-'Übersicht Emissionsfaktoren'!E26</f>
        <v>1</v>
      </c>
    </row>
    <row r="25" spans="2:5" x14ac:dyDescent="0.25">
      <c r="C25" s="21" t="s">
        <v>231</v>
      </c>
      <c r="E25" s="79">
        <f>'Übersicht Emissionsfaktoren'!E24-'Übersicht Emissionsfaktoren'!E26</f>
        <v>0.20000000000000007</v>
      </c>
    </row>
    <row r="26" spans="2:5" ht="30" x14ac:dyDescent="0.25">
      <c r="B26" t="s">
        <v>232</v>
      </c>
      <c r="C26" s="22" t="s">
        <v>233</v>
      </c>
      <c r="E26" s="81">
        <f>'Übersicht Emissionsfaktoren'!E28-'Übersicht Emissionsfaktoren'!E32</f>
        <v>-8.3999999999999991E-2</v>
      </c>
    </row>
    <row r="27" spans="2:5" x14ac:dyDescent="0.25">
      <c r="C27" s="22" t="s">
        <v>234</v>
      </c>
      <c r="E27" s="79">
        <f>'Übersicht Emissionsfaktoren'!E28-'Übersicht Emissionsfaktoren'!E36</f>
        <v>0.10899999999999999</v>
      </c>
    </row>
    <row r="28" spans="2:5" ht="30" x14ac:dyDescent="0.25">
      <c r="C28" s="22" t="s">
        <v>235</v>
      </c>
      <c r="E28" s="79">
        <f>'Übersicht Emissionsfaktoren'!E32-'Übersicht Emissionsfaktoren'!E36</f>
        <v>0.19299999999999998</v>
      </c>
    </row>
    <row r="29" spans="2:5" x14ac:dyDescent="0.25">
      <c r="C29" s="22" t="s">
        <v>236</v>
      </c>
      <c r="E29" s="79">
        <f>'Übersicht Emissionsfaktoren'!E45</f>
        <v>0.23199999999999998</v>
      </c>
    </row>
    <row r="30" spans="2:5" x14ac:dyDescent="0.25">
      <c r="B30" t="s">
        <v>237</v>
      </c>
      <c r="C30" s="21" t="s">
        <v>238</v>
      </c>
      <c r="E30" s="78">
        <f>'Übersicht Emissionsfaktoren'!E46</f>
        <v>5.6</v>
      </c>
    </row>
    <row r="31" spans="2:5" x14ac:dyDescent="0.25">
      <c r="C31" s="21" t="s">
        <v>239</v>
      </c>
      <c r="E31" s="79">
        <f>'Übersicht Emissionsfaktoren'!E47</f>
        <v>0.31919999999999998</v>
      </c>
    </row>
    <row r="32" spans="2:5" x14ac:dyDescent="0.25">
      <c r="C32" s="21" t="s">
        <v>240</v>
      </c>
      <c r="E32" s="78">
        <f>'Übersicht Emissionsfaktoren'!E48</f>
        <v>1.3592233009708736</v>
      </c>
    </row>
    <row r="33" spans="2:5" x14ac:dyDescent="0.25">
      <c r="C33" s="21" t="s">
        <v>241</v>
      </c>
      <c r="E33" s="79">
        <f>'Übersicht Emissionsfaktoren'!E49</f>
        <v>0.4</v>
      </c>
    </row>
    <row r="34" spans="2:5" x14ac:dyDescent="0.25">
      <c r="C34" s="21" t="s">
        <v>127</v>
      </c>
      <c r="E34" s="79">
        <f>'Übersicht Emissionsfaktoren'!E50-'Übersicht Emissionsfaktoren'!E126/1000</f>
        <v>0.51485100000000006</v>
      </c>
    </row>
    <row r="36" spans="2:5" ht="30" x14ac:dyDescent="0.25">
      <c r="B36" t="s">
        <v>242</v>
      </c>
      <c r="C36" s="21" t="s">
        <v>243</v>
      </c>
      <c r="E36" s="79">
        <f>'Übersicht Emissionsfaktoren'!E53-'Übersicht Emissionsfaktoren'!E54</f>
        <v>0.12027826086956521</v>
      </c>
    </row>
    <row r="37" spans="2:5" x14ac:dyDescent="0.25">
      <c r="C37" s="21" t="s">
        <v>244</v>
      </c>
      <c r="E37" s="80">
        <f>'Übersicht Emissionsfaktoren'!E53</f>
        <v>0.21279999999999999</v>
      </c>
    </row>
    <row r="38" spans="2:5" x14ac:dyDescent="0.25">
      <c r="C38" s="21" t="s">
        <v>245</v>
      </c>
      <c r="E38" s="80">
        <f>'Übersicht Emissionsfaktoren'!E53-'Übersicht Emissionsfaktoren'!E56</f>
        <v>0.16009000000000001</v>
      </c>
    </row>
    <row r="39" spans="2:5" ht="30" x14ac:dyDescent="0.25">
      <c r="C39" s="21" t="s">
        <v>246</v>
      </c>
      <c r="E39" s="80">
        <f>'Übersicht Emissionsfaktoren'!E56-'Übersicht Emissionsfaktoren'!E59</f>
        <v>2.9792608695652166E-2</v>
      </c>
    </row>
    <row r="40" spans="2:5" x14ac:dyDescent="0.25">
      <c r="C40" s="139" t="s">
        <v>247</v>
      </c>
      <c r="E40" s="80">
        <f>'Übersicht Emissionsfaktoren'!E56</f>
        <v>5.2709999999999993E-2</v>
      </c>
    </row>
    <row r="41" spans="2:5" x14ac:dyDescent="0.25">
      <c r="C41" s="21" t="s">
        <v>248</v>
      </c>
      <c r="E41" s="80">
        <f>'Übersicht Emissionsfaktoren'!E73</f>
        <v>0.23020000000000002</v>
      </c>
    </row>
    <row r="42" spans="2:5" x14ac:dyDescent="0.25">
      <c r="C42" s="21" t="s">
        <v>249</v>
      </c>
      <c r="E42" s="80">
        <f>'Übersicht Emissionsfaktoren'!E55</f>
        <v>3.5999999999999997E-2</v>
      </c>
    </row>
    <row r="43" spans="2:5" ht="30" x14ac:dyDescent="0.25">
      <c r="C43" s="21" t="s">
        <v>250</v>
      </c>
      <c r="E43" s="80">
        <f>'Übersicht Emissionsfaktoren'!E73-'Übersicht Emissionsfaktoren'!E55</f>
        <v>0.19420000000000001</v>
      </c>
    </row>
    <row r="44" spans="2:5" ht="30" x14ac:dyDescent="0.25">
      <c r="C44" s="21" t="s">
        <v>251</v>
      </c>
      <c r="E44" s="80">
        <f>'Übersicht Emissionsfaktoren'!E73-'Übersicht Emissionsfaktoren'!E69</f>
        <v>0.16620000000000001</v>
      </c>
    </row>
    <row r="46" spans="2:5" ht="30" x14ac:dyDescent="0.25">
      <c r="B46" t="s">
        <v>252</v>
      </c>
      <c r="C46" s="21" t="s">
        <v>253</v>
      </c>
      <c r="E46" s="80">
        <f>'Übersicht Emissionsfaktoren'!E78-'Übersicht Emissionsfaktoren'!E78</f>
        <v>0</v>
      </c>
    </row>
    <row r="47" spans="2:5" ht="30" x14ac:dyDescent="0.25">
      <c r="C47" s="21" t="s">
        <v>254</v>
      </c>
      <c r="E47" s="80">
        <f>'Übersicht Emissionsfaktoren'!E78-'Übersicht Emissionsfaktoren'!E79</f>
        <v>0.374</v>
      </c>
    </row>
    <row r="48" spans="2:5" ht="30" x14ac:dyDescent="0.25">
      <c r="C48" s="21" t="s">
        <v>255</v>
      </c>
      <c r="E48" s="80">
        <f>'Übersicht Emissionsfaktoren'!E78-'Übersicht Emissionsfaktoren'!E79</f>
        <v>0.374</v>
      </c>
    </row>
    <row r="49" spans="2:8" ht="30" x14ac:dyDescent="0.25">
      <c r="C49" s="21" t="s">
        <v>256</v>
      </c>
      <c r="E49" s="80">
        <f>'Übersicht Emissionsfaktoren'!E78</f>
        <v>0.438</v>
      </c>
    </row>
    <row r="50" spans="2:8" x14ac:dyDescent="0.25">
      <c r="C50" s="21" t="s">
        <v>257</v>
      </c>
      <c r="E50" s="80">
        <f>'Übersicht Emissionsfaktoren'!E79</f>
        <v>6.4000000000000001E-2</v>
      </c>
    </row>
    <row r="51" spans="2:8" ht="45" x14ac:dyDescent="0.25">
      <c r="C51" s="21" t="s">
        <v>258</v>
      </c>
      <c r="E51" s="80">
        <f>'Übersicht Emissionsfaktoren'!E78-'Übersicht Emissionsfaktoren'!E80</f>
        <v>0.38228600000000001</v>
      </c>
    </row>
    <row r="52" spans="2:8" ht="30" x14ac:dyDescent="0.25">
      <c r="C52" s="24" t="s">
        <v>259</v>
      </c>
      <c r="E52" s="82">
        <f>'Übersicht Emissionsfaktoren'!E79-'Übersicht Emissionsfaktoren'!E80</f>
        <v>8.2860000000000017E-3</v>
      </c>
    </row>
    <row r="54" spans="2:8" x14ac:dyDescent="0.25">
      <c r="B54" s="77" t="s">
        <v>260</v>
      </c>
      <c r="C54" t="s">
        <v>261</v>
      </c>
    </row>
    <row r="55" spans="2:8" x14ac:dyDescent="0.25">
      <c r="C55" t="s">
        <v>262</v>
      </c>
    </row>
    <row r="56" spans="2:8" x14ac:dyDescent="0.25">
      <c r="C56" t="s">
        <v>263</v>
      </c>
    </row>
    <row r="57" spans="2:8" x14ac:dyDescent="0.25">
      <c r="C57" t="s">
        <v>264</v>
      </c>
    </row>
    <row r="58" spans="2:8" x14ac:dyDescent="0.25">
      <c r="E58" t="s">
        <v>265</v>
      </c>
    </row>
    <row r="59" spans="2:8" x14ac:dyDescent="0.25">
      <c r="C59" t="s">
        <v>266</v>
      </c>
      <c r="E59" s="80">
        <f>'Übersicht Emissionsfaktoren'!E84-'Übersicht Emissionsfaktoren'!E85/0.75</f>
        <v>0.11599999999999999</v>
      </c>
      <c r="G59">
        <v>0.11342857142857142</v>
      </c>
      <c r="H59" t="s">
        <v>267</v>
      </c>
    </row>
    <row r="60" spans="2:8" x14ac:dyDescent="0.25">
      <c r="C60" t="s">
        <v>268</v>
      </c>
      <c r="E60" s="80">
        <f>'Übersicht Emissionsfaktoren'!E84-'Übersicht Emissionsfaktoren'!E88/0.8</f>
        <v>0.10700000000000001</v>
      </c>
      <c r="G60">
        <v>0.10057142857142856</v>
      </c>
    </row>
    <row r="61" spans="2:8" x14ac:dyDescent="0.25">
      <c r="C61" t="s">
        <v>269</v>
      </c>
      <c r="E61" s="80">
        <f>'Übersicht Emissionsfaktoren'!E84-'Übersicht Emissionsfaktoren'!E100/0.96</f>
        <v>0.1164212523719165</v>
      </c>
      <c r="G61" s="7">
        <v>0.10320628896719977</v>
      </c>
    </row>
    <row r="62" spans="2:8" x14ac:dyDescent="0.25">
      <c r="C62" t="s">
        <v>270</v>
      </c>
      <c r="E62" s="80">
        <f>'Übersicht Emissionsfaktoren'!E84-'Übersicht Emissionsfaktoren'!E101/0.96</f>
        <v>0.11033333333333332</v>
      </c>
      <c r="G62" s="92">
        <v>0.11199999999999999</v>
      </c>
    </row>
    <row r="63" spans="2:8" x14ac:dyDescent="0.25">
      <c r="C63" t="s">
        <v>271</v>
      </c>
      <c r="E63" s="80">
        <f>'Übersicht Emissionsfaktoren'!E91/0.92-'Übersicht Emissionsfaktoren'!E84</f>
        <v>0.11647826086956523</v>
      </c>
      <c r="G63">
        <v>0.11647826086956523</v>
      </c>
    </row>
    <row r="64" spans="2:8" x14ac:dyDescent="0.25">
      <c r="C64" t="s">
        <v>272</v>
      </c>
      <c r="E64" s="80">
        <f>'Übersicht Emissionsfaktoren'!E91/0.92-'Übersicht Emissionsfaktoren'!E85/0.75</f>
        <v>0.23247826086956522</v>
      </c>
      <c r="G64">
        <v>0.23247826086956522</v>
      </c>
    </row>
    <row r="65" spans="3:8" x14ac:dyDescent="0.25">
      <c r="C65" t="s">
        <v>273</v>
      </c>
      <c r="E65" s="80">
        <f>'Übersicht Emissionsfaktoren'!E91/0.92-'Übersicht Emissionsfaktoren'!E88/0.8</f>
        <v>0.22347826086956524</v>
      </c>
      <c r="G65">
        <v>0.22347826086956524</v>
      </c>
    </row>
    <row r="66" spans="3:8" x14ac:dyDescent="0.25">
      <c r="C66" t="s">
        <v>274</v>
      </c>
      <c r="E66" s="80">
        <f>'Übersicht Emissionsfaktoren'!E91/0.92-'Übersicht Emissionsfaktoren'!E97/0.96</f>
        <v>6.8183089037391509E-2</v>
      </c>
      <c r="G66" s="5">
        <v>5.4716635041113237E-2</v>
      </c>
    </row>
    <row r="67" spans="3:8" x14ac:dyDescent="0.25">
      <c r="C67" t="s">
        <v>275</v>
      </c>
      <c r="E67" s="80">
        <f>'Übersicht Emissionsfaktoren'!E91/0.92-'Übersicht Emissionsfaktoren'!E98/0.96</f>
        <v>4.2620417732310317E-2</v>
      </c>
      <c r="G67">
        <v>5.1654731457800529E-2</v>
      </c>
    </row>
    <row r="68" spans="3:8" x14ac:dyDescent="0.25">
      <c r="C68" t="s">
        <v>276</v>
      </c>
      <c r="E68" s="80">
        <f>'Übersicht Emissionsfaktoren'!E91/0.92-'Übersicht Emissionsfaktoren'!E100/0.96</f>
        <v>0.23289951324148173</v>
      </c>
      <c r="G68" s="80">
        <v>0.23432266314660508</v>
      </c>
    </row>
    <row r="69" spans="3:8" x14ac:dyDescent="0.25">
      <c r="C69" t="s">
        <v>277</v>
      </c>
      <c r="E69" s="80">
        <f>'Übersicht Emissionsfaktoren'!E91/0.92-'Übersicht Emissionsfaktoren'!E101/0.96</f>
        <v>0.22681159420289854</v>
      </c>
      <c r="G69">
        <v>0.22847826086956521</v>
      </c>
    </row>
    <row r="70" spans="3:8" x14ac:dyDescent="0.25">
      <c r="C70" t="s">
        <v>278</v>
      </c>
      <c r="E70" s="80">
        <f>'Übersicht Emissionsfaktoren'!E91/0.92-E137</f>
        <v>9.3473260869565228E-2</v>
      </c>
      <c r="G70">
        <v>9.3473260869565228E-2</v>
      </c>
      <c r="H70" t="s">
        <v>279</v>
      </c>
    </row>
    <row r="71" spans="3:8" x14ac:dyDescent="0.25">
      <c r="C71" t="s">
        <v>280</v>
      </c>
      <c r="E71" s="80">
        <f>'Übersicht Emissionsfaktoren'!E91/0.92-E138</f>
        <v>0.10523026086956522</v>
      </c>
      <c r="G71">
        <v>0.10523026086956522</v>
      </c>
      <c r="H71" t="s">
        <v>279</v>
      </c>
    </row>
    <row r="72" spans="3:8" x14ac:dyDescent="0.25">
      <c r="C72" t="s">
        <v>281</v>
      </c>
      <c r="E72" s="80">
        <f>'Übersicht Emissionsfaktoren'!$E$93/0.96-'Übersicht Emissionsfaktoren'!E84</f>
        <v>0.28800000000000003</v>
      </c>
      <c r="G72" s="7">
        <v>0.27039999999999997</v>
      </c>
    </row>
    <row r="73" spans="3:8" x14ac:dyDescent="0.25">
      <c r="C73" t="s">
        <v>282</v>
      </c>
      <c r="E73" s="80">
        <f>'Übersicht Emissionsfaktoren'!$E$93/0.96-'Übersicht Emissionsfaktoren'!E85/0.75</f>
        <v>0.40400000000000003</v>
      </c>
      <c r="G73">
        <v>0.38382857142857141</v>
      </c>
    </row>
    <row r="74" spans="3:8" x14ac:dyDescent="0.25">
      <c r="C74" t="s">
        <v>283</v>
      </c>
      <c r="E74" s="80">
        <f>'Übersicht Emissionsfaktoren'!$E$93/0.96-'Übersicht Emissionsfaktoren'!E88/0.8</f>
        <v>0.39500000000000002</v>
      </c>
    </row>
    <row r="75" spans="3:8" x14ac:dyDescent="0.25">
      <c r="C75" t="s">
        <v>284</v>
      </c>
      <c r="E75" s="80">
        <f>'Übersicht Emissionsfaktoren'!$E$93/0.96-'Übersicht Emissionsfaktoren'!E97/0.96</f>
        <v>0.23970482816782629</v>
      </c>
    </row>
    <row r="76" spans="3:8" x14ac:dyDescent="0.25">
      <c r="C76" t="s">
        <v>285</v>
      </c>
      <c r="E76" s="80">
        <f>'Übersicht Emissionsfaktoren'!$E$93/0.96-'Übersicht Emissionsfaktoren'!E98/0.96</f>
        <v>0.2141421568627451</v>
      </c>
    </row>
    <row r="77" spans="3:8" x14ac:dyDescent="0.25">
      <c r="C77" t="s">
        <v>286</v>
      </c>
      <c r="E77" s="80">
        <f>'Übersicht Emissionsfaktoren'!$E$93/0.96-'Übersicht Emissionsfaktoren'!E100/0.96</f>
        <v>0.40442125237191651</v>
      </c>
    </row>
    <row r="78" spans="3:8" x14ac:dyDescent="0.25">
      <c r="C78" t="s">
        <v>287</v>
      </c>
      <c r="E78" s="80">
        <f>'Übersicht Emissionsfaktoren'!$E$93/0.96-'Übersicht Emissionsfaktoren'!E101/0.96</f>
        <v>0.39833333333333332</v>
      </c>
    </row>
    <row r="79" spans="3:8" x14ac:dyDescent="0.25">
      <c r="C79" t="s">
        <v>288</v>
      </c>
      <c r="E79" s="80">
        <f>'Übersicht Emissionsfaktoren'!E93-E137</f>
        <v>0.247395</v>
      </c>
    </row>
    <row r="80" spans="3:8" x14ac:dyDescent="0.25">
      <c r="C80" t="s">
        <v>289</v>
      </c>
      <c r="E80" s="80">
        <f>'Übersicht Emissionsfaktoren'!E93-E138</f>
        <v>0.25915199999999999</v>
      </c>
    </row>
    <row r="81" spans="3:5" x14ac:dyDescent="0.25">
      <c r="C81" t="s">
        <v>290</v>
      </c>
      <c r="E81" s="80">
        <f>'Übersicht Emissionsfaktoren'!$E$96/0.96-'Übersicht Emissionsfaktoren'!E84</f>
        <v>0.17347965422728231</v>
      </c>
    </row>
    <row r="82" spans="3:5" x14ac:dyDescent="0.25">
      <c r="C82" t="s">
        <v>291</v>
      </c>
      <c r="E82" s="80">
        <f>'Übersicht Emissionsfaktoren'!$E$96/0.96-'Übersicht Emissionsfaktoren'!E85/0.75</f>
        <v>0.28947965422728233</v>
      </c>
    </row>
    <row r="83" spans="3:5" x14ac:dyDescent="0.25">
      <c r="C83" t="s">
        <v>292</v>
      </c>
      <c r="E83" s="80">
        <f>'Übersicht Emissionsfaktoren'!$E$96/0.96-'Übersicht Emissionsfaktoren'!E88/0.8</f>
        <v>0.28047965422728233</v>
      </c>
    </row>
    <row r="84" spans="3:5" x14ac:dyDescent="0.25">
      <c r="C84" t="s">
        <v>293</v>
      </c>
      <c r="E84" s="80">
        <f>'Übersicht Emissionsfaktoren'!$E$96/0.96-'Übersicht Emissionsfaktoren'!E97/0.96</f>
        <v>0.1251844823951086</v>
      </c>
    </row>
    <row r="85" spans="3:5" x14ac:dyDescent="0.25">
      <c r="C85" t="s">
        <v>294</v>
      </c>
      <c r="E85" s="80">
        <f>'Übersicht Emissionsfaktoren'!$E$96/0.96-'Übersicht Emissionsfaktoren'!E98/0.96</f>
        <v>9.9621811090027407E-2</v>
      </c>
    </row>
    <row r="86" spans="3:5" x14ac:dyDescent="0.25">
      <c r="C86" t="s">
        <v>295</v>
      </c>
      <c r="E86" s="80">
        <f>'Übersicht Emissionsfaktoren'!$E$96/0.96-'Übersicht Emissionsfaktoren'!E100/0.96</f>
        <v>0.28990090659919882</v>
      </c>
    </row>
    <row r="87" spans="3:5" x14ac:dyDescent="0.25">
      <c r="C87" t="s">
        <v>296</v>
      </c>
      <c r="E87" s="80">
        <f>'Übersicht Emissionsfaktoren'!$E$96/0.96-'Übersicht Emissionsfaktoren'!E101/0.96</f>
        <v>0.28381298756061563</v>
      </c>
    </row>
    <row r="88" spans="3:5" x14ac:dyDescent="0.25">
      <c r="C88" t="s">
        <v>297</v>
      </c>
      <c r="E88" s="80">
        <f>'Übersicht Emissionsfaktoren'!E96/0.96-E137</f>
        <v>0.15047465422728232</v>
      </c>
    </row>
    <row r="89" spans="3:5" x14ac:dyDescent="0.25">
      <c r="C89" t="s">
        <v>298</v>
      </c>
      <c r="E89" s="80">
        <f>'Übersicht Emissionsfaktoren'!E96/0.96-E138</f>
        <v>0.16223165422728231</v>
      </c>
    </row>
    <row r="90" spans="3:5" x14ac:dyDescent="0.25">
      <c r="C90" t="s">
        <v>299</v>
      </c>
      <c r="E90" s="80">
        <f>'Übersicht Emissionsfaktoren'!$E$97/0.96-'Übersicht Emissionsfaktoren'!E84</f>
        <v>4.8295171832173717E-2</v>
      </c>
    </row>
    <row r="91" spans="3:5" x14ac:dyDescent="0.25">
      <c r="C91" t="s">
        <v>300</v>
      </c>
      <c r="E91" s="80">
        <f>'Übersicht Emissionsfaktoren'!$E$97/0.96-'Übersicht Emissionsfaktoren'!E85/0.75</f>
        <v>0.16429517183217371</v>
      </c>
    </row>
    <row r="92" spans="3:5" x14ac:dyDescent="0.25">
      <c r="C92" t="s">
        <v>301</v>
      </c>
      <c r="E92" s="80">
        <f>'Übersicht Emissionsfaktoren'!$E$97/0.96-'Übersicht Emissionsfaktoren'!E88/0.8</f>
        <v>0.15529517183217373</v>
      </c>
    </row>
    <row r="93" spans="3:5" x14ac:dyDescent="0.25">
      <c r="C93" t="s">
        <v>302</v>
      </c>
      <c r="E93" s="80">
        <f>'Übersicht Emissionsfaktoren'!$E$97/0.96-'Übersicht Emissionsfaktoren'!E100/0.96</f>
        <v>0.16471642420409022</v>
      </c>
    </row>
    <row r="94" spans="3:5" x14ac:dyDescent="0.25">
      <c r="C94" t="s">
        <v>303</v>
      </c>
      <c r="E94" s="80">
        <f>'Übersicht Emissionsfaktoren'!$E$97/0.96-'Übersicht Emissionsfaktoren'!E101/0.96</f>
        <v>0.15862850516550703</v>
      </c>
    </row>
    <row r="95" spans="3:5" x14ac:dyDescent="0.25">
      <c r="C95" t="s">
        <v>304</v>
      </c>
      <c r="E95" s="80">
        <f>'Übersicht Emissionsfaktoren'!E97/0.96-E137</f>
        <v>2.5290171832173719E-2</v>
      </c>
    </row>
    <row r="96" spans="3:5" x14ac:dyDescent="0.25">
      <c r="C96" t="s">
        <v>305</v>
      </c>
      <c r="E96" s="80">
        <f>'Übersicht Emissionsfaktoren'!E97/0.96-E138</f>
        <v>3.7047171832173709E-2</v>
      </c>
    </row>
    <row r="97" spans="3:8" x14ac:dyDescent="0.25">
      <c r="C97" t="s">
        <v>306</v>
      </c>
      <c r="E97" s="80">
        <f>'Übersicht Emissionsfaktoren'!$E$98/0.96-'Übersicht Emissionsfaktoren'!E84</f>
        <v>7.3857843137254908E-2</v>
      </c>
    </row>
    <row r="98" spans="3:8" x14ac:dyDescent="0.25">
      <c r="C98" t="s">
        <v>307</v>
      </c>
      <c r="E98" s="80">
        <f>'Übersicht Emissionsfaktoren'!$E$98/0.96-'Übersicht Emissionsfaktoren'!E85/0.75</f>
        <v>0.1898578431372549</v>
      </c>
    </row>
    <row r="99" spans="3:8" x14ac:dyDescent="0.25">
      <c r="C99" t="s">
        <v>308</v>
      </c>
      <c r="E99" s="80">
        <f>'Übersicht Emissionsfaktoren'!$E$98/0.96-'Übersicht Emissionsfaktoren'!E88/0.8</f>
        <v>0.18085784313725492</v>
      </c>
    </row>
    <row r="100" spans="3:8" x14ac:dyDescent="0.25">
      <c r="C100" t="s">
        <v>309</v>
      </c>
      <c r="E100" s="80">
        <f>'Übersicht Emissionsfaktoren'!$E$98/0.96-'Übersicht Emissionsfaktoren'!E97/0.96</f>
        <v>2.5562671305081192E-2</v>
      </c>
    </row>
    <row r="101" spans="3:8" x14ac:dyDescent="0.25">
      <c r="C101" t="s">
        <v>310</v>
      </c>
      <c r="E101" s="80">
        <f>'Übersicht Emissionsfaktoren'!$E$98/0.96-'Übersicht Emissionsfaktoren'!E100/0.96</f>
        <v>0.19027909550917141</v>
      </c>
    </row>
    <row r="102" spans="3:8" x14ac:dyDescent="0.25">
      <c r="C102" t="s">
        <v>311</v>
      </c>
      <c r="E102" s="80">
        <f>'Übersicht Emissionsfaktoren'!$E$98/0.96-'Übersicht Emissionsfaktoren'!E101/0.96</f>
        <v>0.18419117647058825</v>
      </c>
    </row>
    <row r="103" spans="3:8" x14ac:dyDescent="0.25">
      <c r="C103" t="s">
        <v>312</v>
      </c>
      <c r="E103" s="80">
        <f>'Übersicht Emissionsfaktoren'!E98/0.96-E137</f>
        <v>5.0852843137254911E-2</v>
      </c>
    </row>
    <row r="104" spans="3:8" x14ac:dyDescent="0.25">
      <c r="C104" t="s">
        <v>313</v>
      </c>
      <c r="E104" s="80">
        <f>'Übersicht Emissionsfaktoren'!E98/0.96-E138</f>
        <v>6.26098431372549E-2</v>
      </c>
    </row>
    <row r="105" spans="3:8" x14ac:dyDescent="0.25">
      <c r="C105" t="s">
        <v>314</v>
      </c>
      <c r="E105" s="80">
        <f>'Übersicht Emissionsfaktoren'!$E$102/0.92-'Übersicht Emissionsfaktoren'!E84</f>
        <v>0.14799999999999994</v>
      </c>
      <c r="G105">
        <v>0.14799999999999994</v>
      </c>
      <c r="H105" t="s">
        <v>315</v>
      </c>
    </row>
    <row r="106" spans="3:8" x14ac:dyDescent="0.25">
      <c r="C106" t="s">
        <v>316</v>
      </c>
      <c r="E106" s="80">
        <f>'Übersicht Emissionsfaktoren'!$E$102/0.92-'Übersicht Emissionsfaktoren'!E85/0.75</f>
        <v>0.26399999999999996</v>
      </c>
      <c r="G106" s="93">
        <v>0.26142857142857134</v>
      </c>
    </row>
    <row r="107" spans="3:8" x14ac:dyDescent="0.25">
      <c r="C107" t="s">
        <v>317</v>
      </c>
      <c r="E107" s="80">
        <f>'Übersicht Emissionsfaktoren'!$E$102/0.92-'Übersicht Emissionsfaktoren'!E88/0.8</f>
        <v>0.25499999999999995</v>
      </c>
      <c r="G107" s="94">
        <v>0.2485714285714285</v>
      </c>
    </row>
    <row r="108" spans="3:8" x14ac:dyDescent="0.25">
      <c r="C108" t="s">
        <v>318</v>
      </c>
      <c r="E108" s="80">
        <f>'Übersicht Emissionsfaktoren'!$E$102/0.92-'Übersicht Emissionsfaktoren'!E97/0.96</f>
        <v>9.970482816782622E-2</v>
      </c>
      <c r="G108" t="s">
        <v>319</v>
      </c>
    </row>
    <row r="109" spans="3:8" x14ac:dyDescent="0.25">
      <c r="C109" t="s">
        <v>320</v>
      </c>
      <c r="E109" s="80">
        <f>'Übersicht Emissionsfaktoren'!$E$102/0.92-'Übersicht Emissionsfaktoren'!E98/0.96</f>
        <v>7.4142156862745029E-2</v>
      </c>
      <c r="G109" t="s">
        <v>319</v>
      </c>
    </row>
    <row r="110" spans="3:8" x14ac:dyDescent="0.25">
      <c r="C110" t="s">
        <v>321</v>
      </c>
      <c r="E110" s="80">
        <f>'Übersicht Emissionsfaktoren'!$E$102/0.92-'Übersicht Emissionsfaktoren'!E100</f>
        <v>0.26584440227703976</v>
      </c>
      <c r="G110" t="s">
        <v>319</v>
      </c>
    </row>
    <row r="111" spans="3:8" x14ac:dyDescent="0.25">
      <c r="C111" t="s">
        <v>322</v>
      </c>
      <c r="E111" s="80">
        <f>'Übersicht Emissionsfaktoren'!$E$102/0.92-'Übersicht Emissionsfaktoren'!E101</f>
        <v>0.25999999999999995</v>
      </c>
      <c r="G111" t="s">
        <v>319</v>
      </c>
    </row>
    <row r="112" spans="3:8" x14ac:dyDescent="0.25">
      <c r="C112" t="s">
        <v>323</v>
      </c>
      <c r="E112" s="80">
        <f>'Übersicht Emissionsfaktoren'!E102/0.92-E137</f>
        <v>0.12499499999999994</v>
      </c>
      <c r="G112" t="s">
        <v>319</v>
      </c>
    </row>
    <row r="113" spans="2:7" x14ac:dyDescent="0.25">
      <c r="C113" t="s">
        <v>324</v>
      </c>
      <c r="E113" s="80">
        <f>'Übersicht Emissionsfaktoren'!E102/0.92-E138</f>
        <v>0.13675199999999993</v>
      </c>
      <c r="G113" t="s">
        <v>319</v>
      </c>
    </row>
    <row r="114" spans="2:7" x14ac:dyDescent="0.25">
      <c r="C114" t="s">
        <v>325</v>
      </c>
      <c r="E114" s="80">
        <f>'Übersicht Emissionsfaktoren'!$E$105/0.86-'Übersicht Emissionsfaktoren'!E84</f>
        <v>0.21776744186046512</v>
      </c>
      <c r="G114">
        <v>0.21776744186046512</v>
      </c>
    </row>
    <row r="115" spans="2:7" x14ac:dyDescent="0.25">
      <c r="C115" t="s">
        <v>326</v>
      </c>
      <c r="E115" s="80">
        <f>'Übersicht Emissionsfaktoren'!$E$105/0.86-'Übersicht Emissionsfaktoren'!E85/0.75</f>
        <v>0.33376744186046514</v>
      </c>
      <c r="G115">
        <v>0.33119601328903653</v>
      </c>
    </row>
    <row r="116" spans="2:7" x14ac:dyDescent="0.25">
      <c r="C116" t="s">
        <v>327</v>
      </c>
      <c r="E116" s="80">
        <f>'Übersicht Emissionsfaktoren'!$E$105/0.86-'Übersicht Emissionsfaktoren'!E88/0.8</f>
        <v>0.32476744186046513</v>
      </c>
      <c r="G116">
        <v>0.31833887043189368</v>
      </c>
    </row>
    <row r="117" spans="2:7" x14ac:dyDescent="0.25">
      <c r="C117" t="s">
        <v>328</v>
      </c>
      <c r="E117" s="80">
        <f>'Übersicht Emissionsfaktoren'!$E$105/0.86-'Übersicht Emissionsfaktoren'!E97/0.96</f>
        <v>0.16947227002829141</v>
      </c>
      <c r="G117">
        <v>0.17748407690157836</v>
      </c>
    </row>
    <row r="118" spans="2:7" x14ac:dyDescent="0.25">
      <c r="C118" t="s">
        <v>329</v>
      </c>
      <c r="E118" s="80">
        <f>'Übersicht Emissionsfaktoren'!$E$105/0.86-'Übersicht Emissionsfaktoren'!E98/0.96</f>
        <v>0.14390959872321021</v>
      </c>
      <c r="G118">
        <v>0.15294391244870043</v>
      </c>
    </row>
    <row r="119" spans="2:7" x14ac:dyDescent="0.25">
      <c r="C119" t="s">
        <v>330</v>
      </c>
      <c r="E119" s="80">
        <f>'Übersicht Emissionsfaktoren'!$E$105/0.86-'Übersicht Emissionsfaktoren'!E100/0.96</f>
        <v>0.33418869423238162</v>
      </c>
      <c r="G119">
        <v>0.33561184413750494</v>
      </c>
    </row>
    <row r="120" spans="2:7" x14ac:dyDescent="0.25">
      <c r="C120" t="s">
        <v>331</v>
      </c>
      <c r="E120" s="80">
        <f>'Übersicht Emissionsfaktoren'!$E$105/0.86-'Übersicht Emissionsfaktoren'!E101</f>
        <v>0.32976744186046514</v>
      </c>
      <c r="G120">
        <v>0.32976744186046514</v>
      </c>
    </row>
    <row r="121" spans="2:7" x14ac:dyDescent="0.25">
      <c r="C121" t="s">
        <v>332</v>
      </c>
      <c r="E121" s="80">
        <f>'Übersicht Emissionsfaktoren'!E105/0.86-E137</f>
        <v>0.19476244186046512</v>
      </c>
      <c r="G121" s="94">
        <v>0.22847711927981995</v>
      </c>
    </row>
    <row r="122" spans="2:7" x14ac:dyDescent="0.25">
      <c r="C122" t="s">
        <v>333</v>
      </c>
      <c r="E122" s="80">
        <f>'Übersicht Emissionsfaktoren'!E105/0.86-E138</f>
        <v>0.20651944186046511</v>
      </c>
      <c r="G122" s="93">
        <v>0.25450428396572827</v>
      </c>
    </row>
    <row r="125" spans="2:7" x14ac:dyDescent="0.25">
      <c r="B125" t="s">
        <v>334</v>
      </c>
      <c r="C125" s="24" t="s">
        <v>335</v>
      </c>
      <c r="E125" s="80">
        <v>0.152</v>
      </c>
    </row>
    <row r="126" spans="2:7" x14ac:dyDescent="0.25">
      <c r="C126" s="24" t="s">
        <v>336</v>
      </c>
      <c r="E126" s="80">
        <v>2.7E-2</v>
      </c>
    </row>
    <row r="127" spans="2:7" x14ac:dyDescent="0.25">
      <c r="C127" s="24" t="s">
        <v>337</v>
      </c>
      <c r="E127" s="80">
        <v>3.5999999999999997E-2</v>
      </c>
    </row>
    <row r="128" spans="2:7" x14ac:dyDescent="0.25">
      <c r="C128" s="24" t="s">
        <v>338</v>
      </c>
      <c r="E128" s="80">
        <v>0.247</v>
      </c>
    </row>
    <row r="129" spans="2:15" x14ac:dyDescent="0.25">
      <c r="C129" s="24" t="s">
        <v>339</v>
      </c>
      <c r="E129" s="80">
        <v>0.4224</v>
      </c>
    </row>
    <row r="130" spans="2:15" x14ac:dyDescent="0.25">
      <c r="C130" s="24" t="s">
        <v>340</v>
      </c>
      <c r="E130" s="80">
        <v>0.312</v>
      </c>
    </row>
    <row r="131" spans="2:15" x14ac:dyDescent="0.25">
      <c r="C131" s="24" t="s">
        <v>341</v>
      </c>
      <c r="E131" s="80">
        <v>0.192</v>
      </c>
    </row>
    <row r="132" spans="2:15" x14ac:dyDescent="0.25">
      <c r="C132" s="24" t="s">
        <v>342</v>
      </c>
      <c r="E132" s="80">
        <v>0.21679999999999999</v>
      </c>
    </row>
    <row r="133" spans="2:15" x14ac:dyDescent="0.25">
      <c r="C133" s="24" t="s">
        <v>343</v>
      </c>
      <c r="E133" s="80">
        <v>3.4000000000000002E-2</v>
      </c>
    </row>
    <row r="134" spans="2:15" x14ac:dyDescent="0.25">
      <c r="C134" s="24" t="s">
        <v>344</v>
      </c>
      <c r="E134" s="80">
        <v>0.04</v>
      </c>
    </row>
    <row r="135" spans="2:15" x14ac:dyDescent="0.25">
      <c r="C135" s="24" t="s">
        <v>345</v>
      </c>
      <c r="E135" s="80">
        <v>0.27600000000000002</v>
      </c>
    </row>
    <row r="136" spans="2:15" x14ac:dyDescent="0.25">
      <c r="C136" s="24" t="s">
        <v>346</v>
      </c>
      <c r="E136" s="80">
        <v>0.318</v>
      </c>
    </row>
    <row r="137" spans="2:15" x14ac:dyDescent="0.25">
      <c r="C137" t="s">
        <v>347</v>
      </c>
      <c r="E137" s="95">
        <v>0.17500499999999999</v>
      </c>
      <c r="G137" t="s">
        <v>348</v>
      </c>
    </row>
    <row r="138" spans="2:15" ht="15.75" customHeight="1" x14ac:dyDescent="0.25">
      <c r="C138" t="s">
        <v>349</v>
      </c>
      <c r="E138" s="95">
        <v>0.163248</v>
      </c>
      <c r="G138" t="s">
        <v>348</v>
      </c>
    </row>
    <row r="139" spans="2:15" ht="60" customHeight="1" x14ac:dyDescent="0.25">
      <c r="G139" s="281" t="s">
        <v>350</v>
      </c>
      <c r="H139" s="281"/>
      <c r="I139" s="281"/>
      <c r="J139" s="281"/>
      <c r="K139" s="281"/>
      <c r="L139" s="281"/>
      <c r="M139" s="281"/>
      <c r="N139" s="281"/>
      <c r="O139" s="281"/>
    </row>
    <row r="142" spans="2:15" x14ac:dyDescent="0.25">
      <c r="B142" t="s">
        <v>351</v>
      </c>
      <c r="C142" s="24" t="s">
        <v>352</v>
      </c>
      <c r="D142" s="24"/>
    </row>
    <row r="143" spans="2:15" x14ac:dyDescent="0.25">
      <c r="C143" s="24" t="s">
        <v>353</v>
      </c>
      <c r="D143" s="24"/>
    </row>
    <row r="144" spans="2:15" x14ac:dyDescent="0.25">
      <c r="C144" s="24" t="s">
        <v>354</v>
      </c>
      <c r="D144" s="24"/>
    </row>
    <row r="145" spans="3:7" x14ac:dyDescent="0.25">
      <c r="C145" s="24" t="s">
        <v>355</v>
      </c>
      <c r="D145" s="24"/>
    </row>
    <row r="146" spans="3:7" x14ac:dyDescent="0.25">
      <c r="C146" s="24" t="s">
        <v>356</v>
      </c>
      <c r="D146" s="24"/>
    </row>
    <row r="147" spans="3:7" x14ac:dyDescent="0.25">
      <c r="C147" s="24" t="s">
        <v>357</v>
      </c>
      <c r="D147" s="24"/>
      <c r="G147" t="s">
        <v>358</v>
      </c>
    </row>
    <row r="148" spans="3:7" x14ac:dyDescent="0.25">
      <c r="C148" s="24" t="s">
        <v>359</v>
      </c>
    </row>
    <row r="149" spans="3:7" x14ac:dyDescent="0.25">
      <c r="C149" s="24"/>
    </row>
    <row r="150" spans="3:7" x14ac:dyDescent="0.25">
      <c r="C150" s="24"/>
      <c r="D150" s="24"/>
    </row>
    <row r="151" spans="3:7" x14ac:dyDescent="0.25">
      <c r="C151" s="24"/>
      <c r="D151" s="24"/>
    </row>
    <row r="152" spans="3:7" x14ac:dyDescent="0.25">
      <c r="C152" s="37"/>
      <c r="D152" s="37"/>
    </row>
    <row r="153" spans="3:7" x14ac:dyDescent="0.25">
      <c r="C153" s="37"/>
      <c r="D153" s="37"/>
    </row>
    <row r="154" spans="3:7" x14ac:dyDescent="0.25">
      <c r="C154" s="24"/>
      <c r="D154" s="24"/>
    </row>
    <row r="155" spans="3:7" x14ac:dyDescent="0.25">
      <c r="C155" s="24"/>
      <c r="D155" s="24"/>
    </row>
    <row r="156" spans="3:7" x14ac:dyDescent="0.25">
      <c r="C156" s="24"/>
      <c r="D156" s="24"/>
    </row>
    <row r="157" spans="3:7" x14ac:dyDescent="0.25">
      <c r="C157" s="24"/>
      <c r="D157" s="24"/>
    </row>
    <row r="158" spans="3:7" x14ac:dyDescent="0.25">
      <c r="C158" s="24"/>
      <c r="D158" s="24"/>
    </row>
    <row r="159" spans="3:7" x14ac:dyDescent="0.25">
      <c r="C159" s="24"/>
      <c r="D159" s="24"/>
    </row>
    <row r="160" spans="3:7" x14ac:dyDescent="0.25">
      <c r="C160" s="24"/>
      <c r="D160" s="24"/>
    </row>
    <row r="164" spans="3:4" x14ac:dyDescent="0.25">
      <c r="C164" s="24"/>
      <c r="D164" s="24"/>
    </row>
  </sheetData>
  <mergeCells count="1">
    <mergeCell ref="G139:O139"/>
  </mergeCells>
  <pageMargins left="0.7" right="0.7" top="0.78740157499999996" bottom="0.78740157499999996"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tabColor rgb="FFF5C332"/>
  </sheetPr>
  <dimension ref="A1:R33"/>
  <sheetViews>
    <sheetView showGridLines="0" topLeftCell="A9" zoomScale="61" zoomScaleNormal="130" workbookViewId="0">
      <selection activeCell="N17" sqref="N17"/>
    </sheetView>
  </sheetViews>
  <sheetFormatPr baseColWidth="10" defaultColWidth="11.42578125" defaultRowHeight="15" x14ac:dyDescent="0.25"/>
  <cols>
    <col min="1" max="1" width="4.7109375" customWidth="1"/>
    <col min="2" max="2" width="19.7109375" customWidth="1"/>
    <col min="3" max="3" width="27.7109375" customWidth="1"/>
    <col min="4" max="4" width="9.7109375" customWidth="1"/>
    <col min="5" max="7" width="11.7109375" customWidth="1"/>
    <col min="8" max="11" width="13.7109375" customWidth="1"/>
    <col min="12" max="12" width="10.7109375" customWidth="1"/>
    <col min="14" max="14" width="40.7109375" customWidth="1"/>
    <col min="15" max="15" width="20.7109375" customWidth="1"/>
    <col min="16" max="16" width="30.7109375" customWidth="1"/>
    <col min="17" max="17" width="24.42578125" customWidth="1"/>
    <col min="18" max="18" width="24.28515625" customWidth="1"/>
  </cols>
  <sheetData>
    <row r="1" spans="1:18" ht="15" customHeight="1" x14ac:dyDescent="0.25"/>
    <row r="2" spans="1:18" ht="15" customHeight="1" x14ac:dyDescent="0.25"/>
    <row r="3" spans="1:18" ht="15" customHeight="1" x14ac:dyDescent="0.25"/>
    <row r="4" spans="1:18" ht="15" customHeight="1" x14ac:dyDescent="0.25"/>
    <row r="5" spans="1:18" ht="15" customHeight="1" x14ac:dyDescent="0.25"/>
    <row r="6" spans="1:18" ht="30" customHeight="1" x14ac:dyDescent="0.25">
      <c r="A6" s="312" t="s">
        <v>40</v>
      </c>
      <c r="B6" s="312" t="s">
        <v>41</v>
      </c>
      <c r="C6" s="312" t="s">
        <v>88</v>
      </c>
      <c r="D6" s="312" t="s">
        <v>43</v>
      </c>
      <c r="E6" s="312" t="str">
        <f>"Status
1. Bewerbung"&amp;CHAR(10)&amp;Überblick!$F$14</f>
        <v>Status
1. Bewerbung
2025</v>
      </c>
      <c r="F6" s="312" t="str">
        <f>"Status
2. Bewerbung"&amp;CHAR(10)&amp;Überblick!$F$16</f>
        <v>Status
2. Bewerbung
2026</v>
      </c>
      <c r="G6" s="312" t="str">
        <f>"Status 
3. Bewerbung"&amp;CHAR(10)&amp;Überblick!$F$18</f>
        <v xml:space="preserve">Status 
3. Bewerbung
</v>
      </c>
      <c r="H6" s="312" t="s">
        <v>44</v>
      </c>
      <c r="I6" s="312" t="s">
        <v>45</v>
      </c>
      <c r="J6" s="312" t="s">
        <v>46</v>
      </c>
      <c r="K6" s="312" t="s">
        <v>47</v>
      </c>
      <c r="N6" s="314" t="s">
        <v>48</v>
      </c>
      <c r="O6" s="315" t="s">
        <v>49</v>
      </c>
      <c r="P6" s="308" t="s">
        <v>360</v>
      </c>
      <c r="Q6" s="308" t="s">
        <v>51</v>
      </c>
      <c r="R6" s="310" t="s">
        <v>52</v>
      </c>
    </row>
    <row r="7" spans="1:18" ht="30" customHeight="1" x14ac:dyDescent="0.25">
      <c r="A7" s="313"/>
      <c r="B7" s="313"/>
      <c r="C7" s="313"/>
      <c r="D7" s="317"/>
      <c r="E7" s="313"/>
      <c r="F7" s="313"/>
      <c r="G7" s="313"/>
      <c r="H7" s="313"/>
      <c r="I7" s="313"/>
      <c r="J7" s="313"/>
      <c r="K7" s="313"/>
      <c r="N7" s="314"/>
      <c r="O7" s="316"/>
      <c r="P7" s="308"/>
      <c r="Q7" s="309"/>
      <c r="R7" s="311"/>
    </row>
    <row r="8" spans="1:18" ht="50.1" customHeight="1" x14ac:dyDescent="0.25">
      <c r="A8" s="201" t="s">
        <v>361</v>
      </c>
      <c r="B8" s="141" t="s">
        <v>362</v>
      </c>
      <c r="C8" s="142" t="s">
        <v>363</v>
      </c>
      <c r="D8" s="153">
        <v>41640</v>
      </c>
      <c r="E8" s="142" t="s">
        <v>56</v>
      </c>
      <c r="F8" s="142" t="s">
        <v>56</v>
      </c>
      <c r="G8" s="142"/>
      <c r="H8" s="142" t="s">
        <v>364</v>
      </c>
      <c r="I8" s="142" t="s">
        <v>63</v>
      </c>
      <c r="J8" s="144"/>
      <c r="K8" s="152"/>
      <c r="N8" s="176"/>
      <c r="O8" s="142"/>
      <c r="P8" s="177"/>
      <c r="Q8" s="178"/>
      <c r="R8" s="182">
        <f>IF(N8="Wechsel des Stromtarifs: Dt. Strommix zu Ökostrom ohne Neuanlagenförderung",P8*Faktoren!$E$46,0)+IF(N8="Wechsel des Stromtarifs: Dt. Strommix zu Ökostrom mit Neuanlagenförderung",P8*Faktoren!$E$47,0)+IF(N8="Wechsel des Stromtarifs: Ökostrom ohne Neuanlagenförderung zu Ökostrom mit Neuanlagenförderung",P8*Faktoren!$E$48,0)</f>
        <v>0</v>
      </c>
    </row>
    <row r="9" spans="1:18" ht="50.1" customHeight="1" x14ac:dyDescent="0.25">
      <c r="A9" s="201" t="s">
        <v>365</v>
      </c>
      <c r="B9" s="145" t="s">
        <v>366</v>
      </c>
      <c r="C9" s="143" t="s">
        <v>367</v>
      </c>
      <c r="D9" s="153">
        <v>43101</v>
      </c>
      <c r="E9" s="142" t="s">
        <v>56</v>
      </c>
      <c r="F9" s="142" t="s">
        <v>56</v>
      </c>
      <c r="G9" s="142"/>
      <c r="H9" s="143" t="s">
        <v>368</v>
      </c>
      <c r="I9" s="142" t="s">
        <v>58</v>
      </c>
      <c r="J9" s="144"/>
      <c r="K9" s="152"/>
      <c r="N9" s="168"/>
      <c r="O9" s="142"/>
      <c r="P9" s="179"/>
      <c r="Q9" s="171"/>
      <c r="R9" s="175">
        <f>IF(N9="Strom sparen (Tarifart: Dt. Strommix oder Ökostrom ohne Neuanlagenförderung)",P9*Q9*Faktoren!$E$49,0)+IF(N9="Strom sparen (Ökostrom mit Neuanlagenförderung)",P9*Q9*Faktoren!$E$49,0)*IF(N9="PV-Anlage: Selbst produzierten Strom verwenden (Eigenstromverbrauch erhöhen; Stromtarif der Schule ist dt. Strommix)",P9*Q9*Faktoren!$E$50,0)+IF(N9="PV-Anlage: Selbst produzierten Strom verwenden (Eigenstromverbrauch erhöhen; Stromtarif der Schule ist dt. Strommix oder Ökostrom ohne Neuanlagenförderung)",P9*Q9*Faktoren!$E$51,0)+IF(N9="PV-Anlage: Selbst produzierten Strom verwenden (Eigenstromverbrauch erhöhen; Stromtarif der Schule ist Ökostrom mit Neuanlagenförderung)",P9*Q9*Faktoren!$E$52,0)</f>
        <v>0</v>
      </c>
    </row>
    <row r="10" spans="1:18" ht="50.1" customHeight="1" x14ac:dyDescent="0.25">
      <c r="A10" s="201" t="s">
        <v>369</v>
      </c>
      <c r="B10" s="145" t="s">
        <v>370</v>
      </c>
      <c r="C10" s="143" t="s">
        <v>371</v>
      </c>
      <c r="D10" s="153">
        <v>43101</v>
      </c>
      <c r="E10" s="142" t="s">
        <v>56</v>
      </c>
      <c r="F10" s="142" t="s">
        <v>56</v>
      </c>
      <c r="G10" s="142"/>
      <c r="H10" s="143" t="s">
        <v>368</v>
      </c>
      <c r="I10" s="142" t="s">
        <v>58</v>
      </c>
      <c r="J10" s="144"/>
      <c r="K10" s="152"/>
      <c r="N10" s="168"/>
      <c r="O10" s="142"/>
      <c r="P10" s="179"/>
      <c r="Q10" s="171"/>
      <c r="R10" s="175">
        <f>IF(N10="Strom sparen (Tarifart: Dt. Strommix oder Ökostrom ohne Neuanlagenförderung)",P10*Q10*Faktoren!$E$49,0)+IF(N10="Strom sparen (Ökostrom mit Neuanlagenförderung)",P10*Q10*Faktoren!$E$49,0)*IF(N10="PV-Anlage: Selbst produzierten Strom verwenden (Eigenstromverbrauch erhöhen; Stromtarif der Schule ist dt. Strommix)",P10*Q10*Faktoren!$E$50,0)+IF(N10="PV-Anlage: Selbst produzierten Strom verwenden (Eigenstromverbrauch erhöhen; Stromtarif der Schule ist dt. Strommix oder Ökostrom ohne Neuanlagenförderung)",P10*Q10*Faktoren!$E$51,0)+IF(N10="PV-Anlage: Selbst produzierten Strom verwenden (Eigenstromverbrauch erhöhen; Stromtarif der Schule ist Ökostrom mit Neuanlagenförderung)",P10*Q10*Faktoren!$E$52,0)</f>
        <v>0</v>
      </c>
    </row>
    <row r="11" spans="1:18" ht="50.1" customHeight="1" x14ac:dyDescent="0.25">
      <c r="A11" s="201" t="s">
        <v>372</v>
      </c>
      <c r="B11" s="145" t="s">
        <v>373</v>
      </c>
      <c r="C11" s="143" t="s">
        <v>374</v>
      </c>
      <c r="D11" s="153">
        <v>45170</v>
      </c>
      <c r="E11" s="142" t="s">
        <v>56</v>
      </c>
      <c r="F11" s="142" t="s">
        <v>56</v>
      </c>
      <c r="G11" s="142"/>
      <c r="H11" s="143" t="s">
        <v>107</v>
      </c>
      <c r="I11" s="142" t="s">
        <v>58</v>
      </c>
      <c r="J11" s="144"/>
      <c r="K11" s="152"/>
      <c r="N11" s="168"/>
      <c r="O11" s="142"/>
      <c r="P11" s="179"/>
      <c r="Q11" s="171"/>
      <c r="R11" s="175">
        <f>IF(N11="Strom sparen (Tarifart: Dt. Strommix oder Ökostrom ohne Neuanlagenförderung)",P11*Q11*Faktoren!$E$49,0)+IF(N11="Strom sparen (Ökostrom mit Neuanlagenförderung)",P11*Q11*Faktoren!$E$49,0)*IF(N11="PV-Anlage: Selbst produzierten Strom verwenden (Eigenstromverbrauch erhöhen; Stromtarif der Schule ist dt. Strommix)",P11*Q11*Faktoren!$E$50,0)+IF(N11="PV-Anlage: Selbst produzierten Strom verwenden (Eigenstromverbrauch erhöhen; Stromtarif der Schule ist dt. Strommix oder Ökostrom ohne Neuanlagenförderung)",P11*Q11*Faktoren!$E$51,0)+IF(N11="PV-Anlage: Selbst produzierten Strom verwenden (Eigenstromverbrauch erhöhen; Stromtarif der Schule ist Ökostrom mit Neuanlagenförderung)",P11*Q11*Faktoren!$E$52,0)</f>
        <v>0</v>
      </c>
    </row>
    <row r="12" spans="1:18" ht="50.1" customHeight="1" x14ac:dyDescent="0.25">
      <c r="A12" s="188" t="s">
        <v>375</v>
      </c>
      <c r="B12" s="145" t="s">
        <v>376</v>
      </c>
      <c r="C12" s="143" t="s">
        <v>377</v>
      </c>
      <c r="D12" s="153">
        <v>45717</v>
      </c>
      <c r="E12" s="142" t="s">
        <v>75</v>
      </c>
      <c r="F12" s="142" t="s">
        <v>75</v>
      </c>
      <c r="G12" s="142"/>
      <c r="H12" s="143" t="s">
        <v>115</v>
      </c>
      <c r="I12" s="142" t="s">
        <v>164</v>
      </c>
      <c r="J12" s="144"/>
      <c r="K12" s="152"/>
      <c r="N12" s="168"/>
      <c r="O12" s="142"/>
      <c r="P12" s="179"/>
      <c r="Q12" s="171"/>
      <c r="R12" s="175"/>
    </row>
    <row r="13" spans="1:18" ht="50.1" customHeight="1" x14ac:dyDescent="0.25">
      <c r="A13" s="188" t="s">
        <v>378</v>
      </c>
      <c r="B13" s="215" t="s">
        <v>379</v>
      </c>
      <c r="C13" s="216" t="s">
        <v>380</v>
      </c>
      <c r="D13" s="217">
        <v>45901</v>
      </c>
      <c r="E13" s="218" t="s">
        <v>80</v>
      </c>
      <c r="F13" s="218" t="s">
        <v>56</v>
      </c>
      <c r="G13" s="218"/>
      <c r="H13" s="216" t="s">
        <v>364</v>
      </c>
      <c r="I13" s="218" t="s">
        <v>63</v>
      </c>
      <c r="J13" s="235"/>
      <c r="K13" s="152"/>
      <c r="N13" s="168"/>
      <c r="O13" s="142"/>
      <c r="P13" s="179"/>
      <c r="Q13" s="171"/>
      <c r="R13" s="175">
        <f>IF(N13="Strom sparen (Tarifart: Dt. Strommix oder Ökostrom ohne Neuanlagenförderung)",P13*Q13*Faktoren!$E$49,0)+IF(N13="Strom sparen (Ökostrom mit Neuanlagenförderung)",P13*Q13*Faktoren!$E$49,0)*IF(N13="PV-Anlage: Selbst produzierten Strom verwenden (Eigenstromverbrauch erhöhen; Stromtarif der Schule ist dt. Strommix)",P13*Q13*Faktoren!$E$50,0)+IF(N13="PV-Anlage: Selbst produzierten Strom verwenden (Eigenstromverbrauch erhöhen; Stromtarif der Schule ist dt. Strommix oder Ökostrom ohne Neuanlagenförderung)",P13*Q13*Faktoren!$E$51,0)+IF(N13="PV-Anlage: Selbst produzierten Strom verwenden (Eigenstromverbrauch erhöhen; Stromtarif der Schule ist Ökostrom mit Neuanlagenförderung)",P13*Q13*Faktoren!$E$52,0)</f>
        <v>0</v>
      </c>
    </row>
    <row r="14" spans="1:18" ht="50.1" customHeight="1" x14ac:dyDescent="0.25">
      <c r="A14" s="268" t="s">
        <v>381</v>
      </c>
      <c r="B14" s="222" t="s">
        <v>382</v>
      </c>
      <c r="C14" s="222" t="s">
        <v>383</v>
      </c>
      <c r="D14" s="238">
        <v>46092</v>
      </c>
      <c r="E14" s="222"/>
      <c r="F14" s="222" t="s">
        <v>81</v>
      </c>
      <c r="G14" s="222"/>
      <c r="H14" s="222" t="s">
        <v>384</v>
      </c>
      <c r="I14" s="222" t="s">
        <v>58</v>
      </c>
      <c r="J14" s="239">
        <v>272</v>
      </c>
      <c r="K14" s="256"/>
      <c r="N14" s="243"/>
      <c r="O14" s="227"/>
      <c r="P14" s="251"/>
      <c r="Q14" s="252"/>
      <c r="R14" s="245"/>
    </row>
    <row r="15" spans="1:18" ht="50.1" customHeight="1" x14ac:dyDescent="0.25">
      <c r="A15" s="254" t="s">
        <v>385</v>
      </c>
      <c r="B15" s="269" t="s">
        <v>386</v>
      </c>
      <c r="C15" s="269" t="s">
        <v>387</v>
      </c>
      <c r="D15" s="270">
        <v>46388</v>
      </c>
      <c r="E15" s="269"/>
      <c r="F15" s="269" t="s">
        <v>80</v>
      </c>
      <c r="G15" s="269"/>
      <c r="H15" s="269" t="s">
        <v>388</v>
      </c>
      <c r="I15" s="269" t="s">
        <v>63</v>
      </c>
      <c r="J15" s="253"/>
      <c r="K15" s="152"/>
      <c r="N15" s="243"/>
      <c r="O15" s="227"/>
      <c r="P15" s="251"/>
      <c r="Q15" s="252"/>
      <c r="R15" s="245"/>
    </row>
    <row r="16" spans="1:18" ht="24" customHeight="1" x14ac:dyDescent="0.25">
      <c r="A16" s="154"/>
      <c r="B16" s="219"/>
      <c r="C16" s="220"/>
      <c r="D16" s="219"/>
      <c r="E16" s="220"/>
      <c r="F16" s="220"/>
      <c r="G16" s="220"/>
      <c r="H16" s="220"/>
      <c r="I16" s="221" t="s">
        <v>87</v>
      </c>
      <c r="J16" s="151">
        <f>SUM(J8:J13)</f>
        <v>0</v>
      </c>
      <c r="K16" s="151"/>
    </row>
    <row r="27" spans="14:18" x14ac:dyDescent="0.25">
      <c r="N27" s="1"/>
      <c r="O27" s="1"/>
      <c r="P27" s="76"/>
      <c r="Q27" s="1"/>
      <c r="R27" s="1"/>
    </row>
    <row r="28" spans="14:18" x14ac:dyDescent="0.25">
      <c r="N28" s="21"/>
      <c r="O28" s="21"/>
      <c r="P28" s="73"/>
      <c r="Q28" s="23"/>
      <c r="R28" s="71"/>
    </row>
    <row r="29" spans="14:18" x14ac:dyDescent="0.25">
      <c r="N29" s="21"/>
      <c r="O29" s="21"/>
      <c r="P29" s="73"/>
      <c r="Q29" s="23"/>
      <c r="R29" s="71"/>
    </row>
    <row r="30" spans="14:18" x14ac:dyDescent="0.25">
      <c r="N30" s="21"/>
      <c r="O30" s="21"/>
      <c r="P30" s="73"/>
      <c r="Q30" s="23"/>
      <c r="R30" s="71"/>
    </row>
    <row r="31" spans="14:18" x14ac:dyDescent="0.25">
      <c r="N31" s="21"/>
      <c r="O31" s="21"/>
      <c r="P31" s="73"/>
      <c r="Q31" s="23"/>
      <c r="R31" s="71"/>
    </row>
    <row r="32" spans="14:18" x14ac:dyDescent="0.25">
      <c r="N32" s="21"/>
      <c r="O32" s="21"/>
      <c r="P32" s="73"/>
      <c r="Q32" s="23"/>
      <c r="R32" s="71"/>
    </row>
    <row r="33" spans="14:18" x14ac:dyDescent="0.25">
      <c r="N33" s="21"/>
      <c r="O33" s="21"/>
      <c r="P33" s="70"/>
      <c r="Q33" s="29"/>
      <c r="R33" s="71"/>
    </row>
  </sheetData>
  <sheetProtection selectLockedCells="1"/>
  <mergeCells count="16">
    <mergeCell ref="E6:E7"/>
    <mergeCell ref="A6:A7"/>
    <mergeCell ref="B6:B7"/>
    <mergeCell ref="C6:C7"/>
    <mergeCell ref="D6:D7"/>
    <mergeCell ref="P6:P7"/>
    <mergeCell ref="Q6:Q7"/>
    <mergeCell ref="R6:R7"/>
    <mergeCell ref="G6:G7"/>
    <mergeCell ref="F6:F7"/>
    <mergeCell ref="H6:H7"/>
    <mergeCell ref="I6:I7"/>
    <mergeCell ref="J6:J7"/>
    <mergeCell ref="K6:K7"/>
    <mergeCell ref="N6:N7"/>
    <mergeCell ref="O6:O7"/>
  </mergeCells>
  <conditionalFormatting sqref="E8:F15">
    <cfRule type="containsText" dxfId="58" priority="8" operator="containsText" text="Umsetzung nicht möglich">
      <formula>NOT(ISERROR(SEARCH("Umsetzung nicht möglich",E8)))</formula>
    </cfRule>
  </conditionalFormatting>
  <conditionalFormatting sqref="E8:G15">
    <cfRule type="containsText" dxfId="57" priority="1" operator="containsText" text="Umsetzung nicht möglich">
      <formula>NOT(ISERROR(SEARCH("Umsetzung nicht möglich",E8)))</formula>
    </cfRule>
    <cfRule type="containsText" dxfId="56" priority="2" operator="containsText" text="bisher nicht umgesetzt">
      <formula>NOT(ISERROR(SEARCH("bisher nicht umgesetzt",E8)))</formula>
    </cfRule>
    <cfRule type="containsText" dxfId="55" priority="3" operator="containsText" text="zukünftiger Termin">
      <formula>NOT(ISERROR(SEARCH("zukünftiger Termin",E8)))</formula>
    </cfRule>
    <cfRule type="containsText" dxfId="54" priority="4" operator="containsText" text="In Umsetzung (Ende)">
      <formula>NOT(ISERROR(SEARCH("In Umsetzung (Ende)",E8)))</formula>
    </cfRule>
    <cfRule type="containsText" dxfId="53" priority="5" operator="containsText" text="In Umsetzung (Mitte)">
      <formula>NOT(ISERROR(SEARCH("In Umsetzung (Mitte)",E8)))</formula>
    </cfRule>
    <cfRule type="containsText" dxfId="52" priority="6" operator="containsText" text="In Umsetzung (Anfang)">
      <formula>NOT(ISERROR(SEARCH("In Umsetzung (Anfang)",E8)))</formula>
    </cfRule>
    <cfRule type="containsText" dxfId="51" priority="7" operator="containsText" text="umgesetzt">
      <formula>NOT(ISERROR(SEARCH("umgesetzt",E8)))</formula>
    </cfRule>
  </conditionalFormatting>
  <conditionalFormatting sqref="G10">
    <cfRule type="containsText" dxfId="50" priority="72" operator="containsText" text="Umsetzung nicht möglich">
      <formula>NOT(ISERROR(SEARCH("Umsetzung nicht möglich",G10)))</formula>
    </cfRule>
  </conditionalFormatting>
  <dataValidations count="3">
    <dataValidation type="list" allowBlank="1" showInputMessage="1" showErrorMessage="1" sqref="Q28:Q33" xr:uid="{F47FA98E-C41C-4B55-ACF0-17729A9CEC3A}">
      <formula1>"10 %, 20 %, 30%, 40 %, 50 %, 60%, 70 %, 80 %, 90 %, 100 %"</formula1>
    </dataValidation>
    <dataValidation type="decimal" allowBlank="1" showInputMessage="1" showErrorMessage="1" sqref="Q9:Q15" xr:uid="{10981AFD-C68F-49B1-9348-1C41165A8F6C}">
      <formula1>0</formula1>
      <formula2>1</formula2>
    </dataValidation>
    <dataValidation type="list" allowBlank="1" showInputMessage="1" showErrorMessage="1" sqref="O8:O15" xr:uid="{BC9AA7BE-02F6-4B20-901B-073325C706CB}">
      <formula1>"ST1,ST2,ST3,ST4,ST5,ST6,ST7,ST8,ST9,ST10,ST11,ST12,ST13,ST14,ST15,ST16,ST17,ST18,ST19,ST20"</formula1>
    </dataValidation>
  </dataValidations>
  <pageMargins left="0.7" right="0.7" top="0.78740157499999996" bottom="0.78740157499999996"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D577D2-F8E0-45CB-8288-E3E54C577757}">
          <x14:formula1>
            <xm:f>Faktoren!$C$46:$C$48</xm:f>
          </x14:formula1>
          <xm:sqref>N8</xm:sqref>
        </x14:dataValidation>
        <x14:dataValidation type="list" allowBlank="1" showInputMessage="1" showErrorMessage="1" xr:uid="{E1E6F923-C7D5-4C13-902B-BBED2F9F7200}">
          <x14:formula1>
            <xm:f>Faktoren!$C$49:$C$52</xm:f>
          </x14:formula1>
          <xm:sqref>N9:N15</xm:sqref>
        </x14:dataValidation>
        <x14:dataValidation type="list" allowBlank="1" showInputMessage="1" showErrorMessage="1" xr:uid="{1C8AD3C7-A504-4851-835E-7CD73ACD0842}">
          <x14:formula1>
            <xm:f>Status!$A$2:$A$10</xm:f>
          </x14:formula1>
          <xm:sqref>E8:G15</xm:sqref>
        </x14:dataValidation>
        <x14:dataValidation type="list" allowBlank="1" showInputMessage="1" showErrorMessage="1" xr:uid="{FEECE75C-BE0B-4ACB-8EA5-6A41773B1EE9}">
          <x14:formula1>
            <xm:f>Status!$E$3:$E$8</xm:f>
          </x14:formula1>
          <xm:sqref>I8:I15</xm:sqref>
        </x14:dataValidation>
        <x14:dataValidation type="list" allowBlank="1" showInputMessage="1" showErrorMessage="1" xr:uid="{F775A0C4-1BC8-490C-93EA-DE6AC82A1E7D}">
          <x14:formula1>
            <xm:f>Status!$H$3:$H$27</xm:f>
          </x14:formula1>
          <xm:sqref>K8:K15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3B20-8D75-4A5A-833B-200040015C6D}">
  <sheetPr codeName="Tabelle15"/>
  <dimension ref="A2:A15"/>
  <sheetViews>
    <sheetView workbookViewId="0">
      <selection activeCell="A6" sqref="A6"/>
    </sheetView>
  </sheetViews>
  <sheetFormatPr baseColWidth="10" defaultColWidth="11.42578125" defaultRowHeight="15" x14ac:dyDescent="0.25"/>
  <sheetData>
    <row r="2" spans="1:1" x14ac:dyDescent="0.25">
      <c r="A2" t="s">
        <v>389</v>
      </c>
    </row>
    <row r="4" spans="1:1" ht="15.75" x14ac:dyDescent="0.25">
      <c r="A4" s="83" t="s">
        <v>390</v>
      </c>
    </row>
    <row r="5" spans="1:1" x14ac:dyDescent="0.25">
      <c r="A5" t="s">
        <v>391</v>
      </c>
    </row>
    <row r="6" spans="1:1" x14ac:dyDescent="0.25">
      <c r="A6" t="s">
        <v>392</v>
      </c>
    </row>
    <row r="7" spans="1:1" x14ac:dyDescent="0.25">
      <c r="A7" t="s">
        <v>393</v>
      </c>
    </row>
    <row r="10" spans="1:1" x14ac:dyDescent="0.25">
      <c r="A10" s="77" t="s">
        <v>394</v>
      </c>
    </row>
    <row r="12" spans="1:1" x14ac:dyDescent="0.25">
      <c r="A12" t="s">
        <v>395</v>
      </c>
    </row>
    <row r="14" spans="1:1" x14ac:dyDescent="0.25">
      <c r="A14" t="s">
        <v>396</v>
      </c>
    </row>
    <row r="15" spans="1:1" x14ac:dyDescent="0.25">
      <c r="A15" t="s">
        <v>397</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tabColor rgb="FFEE2C24"/>
  </sheetPr>
  <dimension ref="A6:S48"/>
  <sheetViews>
    <sheetView showGridLines="0" topLeftCell="A2" zoomScale="48" zoomScaleNormal="130" workbookViewId="0">
      <selection activeCell="N13" sqref="N13"/>
    </sheetView>
  </sheetViews>
  <sheetFormatPr baseColWidth="10" defaultColWidth="11.42578125" defaultRowHeight="15" x14ac:dyDescent="0.25"/>
  <cols>
    <col min="1" max="1" width="5.140625" customWidth="1"/>
    <col min="2" max="2" width="19.7109375" customWidth="1"/>
    <col min="3" max="3" width="27.7109375" customWidth="1"/>
    <col min="4" max="4" width="9.7109375" customWidth="1"/>
    <col min="5" max="7" width="11.7109375" customWidth="1"/>
    <col min="8" max="11" width="13.7109375" customWidth="1"/>
    <col min="13" max="13" width="7.7109375" customWidth="1"/>
    <col min="14" max="14" width="40.7109375" customWidth="1"/>
    <col min="15" max="15" width="19.7109375" customWidth="1"/>
    <col min="16" max="16" width="27.28515625" customWidth="1"/>
    <col min="17" max="17" width="23.140625" customWidth="1"/>
    <col min="18" max="18" width="18.7109375" customWidth="1"/>
    <col min="19" max="19" width="20.42578125" customWidth="1"/>
  </cols>
  <sheetData>
    <row r="6" spans="1:19" ht="30" customHeight="1" x14ac:dyDescent="0.25">
      <c r="A6" s="318" t="s">
        <v>40</v>
      </c>
      <c r="B6" s="318" t="s">
        <v>41</v>
      </c>
      <c r="C6" s="318" t="s">
        <v>88</v>
      </c>
      <c r="D6" s="318" t="s">
        <v>43</v>
      </c>
      <c r="E6" s="318" t="str">
        <f>"Status
1. Bewerbung"&amp;CHAR(10)&amp;Überblick!$F$14</f>
        <v>Status
1. Bewerbung
2025</v>
      </c>
      <c r="F6" s="318" t="str">
        <f>"Status
2. Bewerbung"&amp;CHAR(10)&amp;Überblick!$F$16</f>
        <v>Status
2. Bewerbung
2026</v>
      </c>
      <c r="G6" s="318" t="str">
        <f>"Status 
3. Bewerbung"&amp;CHAR(10)&amp;Überblick!$F$18</f>
        <v xml:space="preserve">Status 
3. Bewerbung
</v>
      </c>
      <c r="H6" s="318" t="s">
        <v>44</v>
      </c>
      <c r="I6" s="318" t="s">
        <v>45</v>
      </c>
      <c r="J6" s="318" t="s">
        <v>46</v>
      </c>
      <c r="K6" s="318" t="s">
        <v>47</v>
      </c>
      <c r="N6" s="327" t="s">
        <v>398</v>
      </c>
      <c r="O6" s="325" t="s">
        <v>49</v>
      </c>
      <c r="P6" s="321" t="s">
        <v>399</v>
      </c>
      <c r="Q6" s="325" t="s">
        <v>400</v>
      </c>
      <c r="R6" s="321" t="s">
        <v>51</v>
      </c>
      <c r="S6" s="323" t="s">
        <v>52</v>
      </c>
    </row>
    <row r="7" spans="1:19" ht="30" customHeight="1" x14ac:dyDescent="0.25">
      <c r="A7" s="319"/>
      <c r="B7" s="319"/>
      <c r="C7" s="319"/>
      <c r="D7" s="320"/>
      <c r="E7" s="319"/>
      <c r="F7" s="319"/>
      <c r="G7" s="319"/>
      <c r="H7" s="319"/>
      <c r="I7" s="319"/>
      <c r="J7" s="319"/>
      <c r="K7" s="319"/>
      <c r="N7" s="327"/>
      <c r="O7" s="326"/>
      <c r="P7" s="321"/>
      <c r="Q7" s="326"/>
      <c r="R7" s="322"/>
      <c r="S7" s="324"/>
    </row>
    <row r="8" spans="1:19" ht="50.1" customHeight="1" x14ac:dyDescent="0.25">
      <c r="A8" s="202" t="s">
        <v>401</v>
      </c>
      <c r="B8" s="141" t="s">
        <v>402</v>
      </c>
      <c r="C8" s="142" t="s">
        <v>403</v>
      </c>
      <c r="D8" s="143">
        <v>2018</v>
      </c>
      <c r="E8" s="142" t="s">
        <v>56</v>
      </c>
      <c r="F8" s="142" t="s">
        <v>56</v>
      </c>
      <c r="G8" s="142"/>
      <c r="H8" s="142" t="s">
        <v>404</v>
      </c>
      <c r="I8" s="142" t="s">
        <v>58</v>
      </c>
      <c r="J8" s="144"/>
      <c r="K8" s="152"/>
      <c r="N8" s="176"/>
      <c r="O8" s="176"/>
      <c r="P8" s="177"/>
      <c r="Q8" s="180"/>
      <c r="R8" s="181"/>
      <c r="S8" s="182">
        <f>IF(AND(Q8="Biogas",R8="Absenkung um 1°C"),P8*0.06*Faktoren!$E$125,IF(AND(Q8="Biogas",R8="Absenkung um 2°C"),P8*0.12*Faktoren!$E$125,IF(AND(Q8="Biogas",R8="Absenkung um 3°C"),P8*0.18*Faktoren!$E$125,IF(AND(Q8="Biogas",R8="Absenkung um 4°C"),P8*0.24*Faktoren!$E$125,0))))+IF(AND(Q8="Biomasse: Hackschnitzel",R8="Absenkung um 1°C"),P8/0.75*0.06*Faktoren!$E$126,IF(AND(Q8="Biomasse: Hackschnitzel",R8="Absenkung um 2°C"),P8*0.75*0.12*Faktoren!$E$126,IF(AND(Q8="Biomasse: Hackschnitzel",R8="Absenkung um 3°C"),P8/0.75*0.18*Faktoren!$E$126,IF(AND(Q8="Biomasse: Hackschnitzel",R8="Absenkung um 4°C"),P8/0.75*0.24*Faktoren!$E$126,0))))+IF(AND(Q8="Biomasse: Pellets",R8="Absenkung um 1°C"),P8/0.8*0.06*Faktoren!$E$127,IF(AND(Q8="Biomasse: Pellets",R8="Absenkung um 2°C"),P8/0.8*0.12*Faktoren!$E$127,IF(AND(Q8="Biomasse: Pellets",R8="Absenkung um 3°C"),P8/0.8*0.18*Faktoren!$E$127,IF(AND(Q8="Biomasse: Pellets",R8="Absenkung um 4°C"),P8/0.8*0.24*Faktoren!$E$127,0))))+IF(AND(Q8="Erdgas",R8="Absenkung um 1°C"),P8/0.92*0.06*Faktoren!$E$128,IF(AND(Q8="Erdgas",R8="Absenkung um 2°C"),P8/0.92*0.12*Faktoren!$E$128,IF(AND(Q8="Erdgas",R8="Absenkung um 3°C"),P8/0.92*0.18*Faktoren!$E$128,IF(AND(Q8="Erdgas",R8="Absenkung um 4°C"),P8/0.92*0.24*Faktoren!$E$128,0))))+IF(AND(Q8="Fernwärme (Kohle)",R8="Absenkung um 1°C"),P8/0.96*0.06*Faktoren!$E$129,IF(AND(Q8="Fernwärme (Kohle)",R8="Absenkung um 2°C"),P8/0.96*0.12*Faktoren!$E$129,IF(AND(Q8="Fernwärme (Kohle)",R8="Absenkung um 3°C"),P8/0.96*0.18*Faktoren!$E$129,IF(AND(Q8="Fernwärme (Kohle)",R8="Absenkung um 4°C"),P8/0.96*0.24*Faktoren!$E$129,0))))+IF(AND(Q8="Fernwärme (Erdgas)",R8="Absenkung um 1°C"),P8/0.96*0.06*Faktoren!$E$130,IF(AND(Q8="Fernwärme (Erdgas)",R8="Absenkung um 2°C"),P8/0.96*0.12*Faktoren!$E$130,IF(AND(Q8="Fernwärme (Erdgas)",R8="Absenkung um 3°C"),P8/0.96*0.18*Faktoren!$E$130,IF(AND(Q8="Fernwärme (Erdgas)",R8="Absenkung um 4°C"),P8/0.96*0.24*Faktoren!$E$130,0))))+IF(AND(Q8="Fernwärme (Biogas)",R8="Absenkung um 1°C"),P8/0.96*0.06*Faktoren!$E$131,IF(AND(Q8="Fernwärme (Biogas)",R8="Absenkung um 2°C"),P8/0.96*0.12*Faktoren!$E$131,IF(AND(Q8="Fernwärme (Biogas)",R8="Absenkung um 3°C"),P8/0.96*0.18*Faktoren!$E$131,IF(AND(Q8="Fernwärme (Biogas)",R8="Absenkung um 4°C"),P8/0.96*0.24*Faktoren!$E$131,0))))+IF(AND(Q8="Fernwärme (Müll HKW)",R8="Absenkung um 1°C"),P8/0.96*0.06*Faktoren!$E$132,IF(AND(Q8="Fernwärme (Müll HKW)",R8="Absenkung um 2°C"),P8/0.96*0.12*Faktoren!$E$132,IF(AND(Q8="Fernwärme (Müll HKW)",R8="Absenkung um 3°C"),P8/0.96*0.18*Faktoren!$E$132,IF(AND(Q8="Fernwärme (Müll HKW)",R8="Absenkung um 4°C"),P8/0.96*0.24*Faktoren!$E$132,0))))+IF(AND(Q8="Fernwärme (Hackschnitzel)",R8="Absenkung um 1°C"),P8/0.96*0.06*Faktoren!$E$133,IF(AND(Q8="Fernwärme (Hackschnitzel)",R8="Absenkung um 2°C"),P8/0.96*0.12*Faktoren!$E$133,IF(AND(Q8="Fernwärme (Hackschnitzel)",R8="Absenkung um 3°C"),P8/0.96*0.18*Faktoren!$E$133,IF(AND(Q8="Fernwärme (Hackschnitzel)",R8="Absenkung um 4°C"),P8/0.96*0.24*Faktoren!$E$133,0))))+IF(AND(Q8="Fernwärme (Industrielle Prozessabwärme)",R8="Absenkung um 1°C"),P8/0.96*0.06*Faktoren!$E$134,IF(AND(Q8="Fernwärme (Industrielle Prozessabwärme)",R8="Absenkung um 2°C"),P8/0.96*0.12*Faktoren!$E$134,IF(AND(Q8="Fernwärme (Industrielle Prozessabwärme)",R8="Absenkung um 3°C"),P8/0.96*0.18*Faktoren!$E$134,IF(AND(Q8="Fernwärme (Industrielle Prozessabwärme)",R8="Absenkung um 4°C"),P8*0.24*Faktoren!$E$134,0))))+IF(AND(Q8="Flüssiggas",R8="Absenkung um 1°C"),P8/0.92*0.06*Faktoren!$E$135,IF(AND(Q8="Flüssiggas",R8="Absenkung um 2°C"),P8/0.92*0.12*Faktoren!$E$135,IF(AND(Q8="Flüssiggas",R8="Absenkung um 3°C"),P8/0.92*0.18*Faktoren!$E$135,IF(AND(Q8="Flüssiggas",R8="Absenkung um 4°C"),P8/0.92*0.24*Faktoren!$E$135,0))))+IF(AND(Q8="Heizöl",R8="Absenkung um 1°C"),P8/0.86*0.06*Faktoren!$E$136,IF(AND(Q8="Heizöl",R8="Absenkung um 2°C"),P8/0.86*0.12*Faktoren!$E$136,IF(AND(Q8="Heizöl",R8="Absenkung um 3°C"),P8/0.86*0.18*Faktoren!$E$136,IF(AND(Q8="Heizöl",R8="Absenkung um 4°C"),P8/0.86*0.24*Faktoren!$E$136,0))))+IF(AND(Q8="Wärmepumpe (Luft/Wasser)",R8="Absenkung um 1°C"),P8*0.06*Faktoren!$E$136,IF(AND(Q8="Wärmepumpe (Luft/Wasser)",R8="Absenkung um 2°C"),P8*0.12*Faktoren!$E$137,IF(AND(Q8="Wärmepumpe (Luft/Wasser)",R8="Absenkung um 3°C"),P8*0.18*Faktoren!$E$137,IF(AND(Q8="Wärmepumpe (Luft/Wasser)",R8="Absenkung um 4°C"),P8*0.24*Faktoren!$E$137,0))))+IF(AND(Q8="Wärmepumpe (Sole/Wasser)",R8="Absenkung um 1°C"),P8*0.06*Faktoren!$E$138,IF(AND(Q8="Wärmepumpe (Sole/Wasser)",R8="Absenkung um 2°C"),P8*0.12*Faktoren!$E$138,IF(AND(Q8="Wärmepumpe (Sole/Wasser)",R8="Absenkung um 3°C"),P8*0.18*Faktoren!$E$138,IF(AND(Q8="Wärmepumpe (Sole/Wasser)",R8="Absenkung um 4°C"),P8*0.24*Faktoren!$E$138,0))))</f>
        <v>0</v>
      </c>
    </row>
    <row r="9" spans="1:19" ht="50.1" customHeight="1" x14ac:dyDescent="0.25">
      <c r="A9" s="202" t="s">
        <v>405</v>
      </c>
      <c r="B9" s="145" t="s">
        <v>406</v>
      </c>
      <c r="C9" s="143" t="s">
        <v>407</v>
      </c>
      <c r="D9" s="143">
        <v>2018</v>
      </c>
      <c r="E9" s="142" t="s">
        <v>56</v>
      </c>
      <c r="F9" s="142" t="s">
        <v>56</v>
      </c>
      <c r="G9" s="142"/>
      <c r="H9" s="143" t="s">
        <v>404</v>
      </c>
      <c r="I9" s="142" t="s">
        <v>58</v>
      </c>
      <c r="J9" s="144"/>
      <c r="K9" s="152"/>
      <c r="N9" s="168"/>
      <c r="O9" s="176"/>
      <c r="P9" s="179"/>
      <c r="Q9" s="180"/>
      <c r="R9" s="171"/>
      <c r="S9" s="175">
        <f>IF(Q9="Biogas",P9*1*R9*Faktoren!$E$125,0)+IF(Q9="Biomasse: Hackschnitzel",P9/0.75*R9*Faktoren!$E$126,0)+IF(Q9="Biomasse: Pellets",P9/0.8*R9*Faktoren!$E$127,0)+IF(Q9="Erdgas",P9/0.92*R9*Faktoren!$E$128,0)+IF(Q9="Fernwärme (Kohle)",P9/0.96*R9*Faktoren!$E$129,0)+IF(Q9="Fernwärme (Erdgas)",P9/0.96*R9*Faktoren!$E$130,0)+IF(Q9="Fernwärme (Biogas)",P9/0.96*R9*Faktoren!$E$131,0)+IF(Q9="Fernwärme (Müll HKW)",P9/0.96*R9*Faktoren!$E$132,0)+IF(Q9="Fernwärme (Hackschnitzel)",P9/0.96*R9*Faktoren!$E$133,0)+IF(Q9="Fernwärme (Industrielle Prozessabwärme)",P9/0.96*R9*Faktoren!$E$134,0)+IF(Q9="Flüssiggas",P9/0.92*R9*Faktoren!$E$135,0)+IF(Q9="Heizöl",P9/0.86*R9*Faktoren!$E$136,0)+IF(Q9="Wärmepumpe (Luft/Wasser)",P9*R9*Faktoren!$E$137,0)+IF(Q9="Wärmepumpe (Sole/Wasser)",P9*R9*Faktoren!$E$138,0)</f>
        <v>0</v>
      </c>
    </row>
    <row r="10" spans="1:19" ht="50.1" customHeight="1" x14ac:dyDescent="0.25">
      <c r="A10" s="202" t="s">
        <v>408</v>
      </c>
      <c r="B10" s="145" t="s">
        <v>409</v>
      </c>
      <c r="C10" s="143" t="s">
        <v>410</v>
      </c>
      <c r="D10" s="153">
        <v>45689</v>
      </c>
      <c r="E10" s="142" t="s">
        <v>56</v>
      </c>
      <c r="F10" s="142" t="s">
        <v>56</v>
      </c>
      <c r="G10" s="142"/>
      <c r="H10" s="143" t="s">
        <v>107</v>
      </c>
      <c r="I10" s="142" t="s">
        <v>164</v>
      </c>
      <c r="J10" s="144">
        <v>146</v>
      </c>
      <c r="K10" s="152">
        <v>2026</v>
      </c>
      <c r="N10" s="168" t="s">
        <v>264</v>
      </c>
      <c r="O10" s="176"/>
      <c r="P10" s="179"/>
      <c r="Q10" s="180"/>
      <c r="R10" s="171"/>
      <c r="S10" s="175">
        <f>IF(Q10="Biogas",P10*1*R10*Faktoren!$E$125,0)+IF(Q10="Biomasse: Hackschnitzel",P10/0.75*R10*Faktoren!$E$126,0)+IF(Q10="Biomasse: Pellets",P10/0.8*R10*Faktoren!$E$127,0)+IF(Q10="Erdgas",P10/0.92*R10*Faktoren!$E$128,0)+IF(Q10="Fernwärme (Kohle)",P10/0.96*R10*Faktoren!$E$129,0)+IF(Q10="Fernwärme (Erdgas)",P10/0.96*R10*Faktoren!$E$130,0)+IF(Q10="Fernwärme (Biogas)",P10/0.96*R10*Faktoren!$E$131,0)+IF(Q10="Fernwärme (Müll HKW)",P10/0.96*R10*Faktoren!$E$132,0)+IF(Q10="Fernwärme (Hackschnitzel)",P10/0.96*R10*Faktoren!$E$133,0)+IF(Q10="Fernwärme (Industrielle Prozessabwärme)",P10/0.96*R10*Faktoren!$E$134,0)+IF(Q10="Flüssiggas",P10/0.92*R10*Faktoren!$E$135,0)+IF(Q10="Heizöl",P10/0.86*R10*Faktoren!$E$136,0)+IF(Q10="Wärmepumpe (Luft/Wasser))",P10*R10*Faktoren!$E$137,0)+IF(Q10="Wärmepumpe (Sole/Wasser)",P10*R10*Faktoren!$E$138,0)</f>
        <v>0</v>
      </c>
    </row>
    <row r="11" spans="1:19" ht="50.1" customHeight="1" x14ac:dyDescent="0.25">
      <c r="A11" s="202" t="s">
        <v>411</v>
      </c>
      <c r="B11" s="145" t="s">
        <v>412</v>
      </c>
      <c r="C11" s="143" t="s">
        <v>413</v>
      </c>
      <c r="D11" s="153">
        <v>45658</v>
      </c>
      <c r="E11" s="142" t="s">
        <v>81</v>
      </c>
      <c r="F11" s="142" t="s">
        <v>56</v>
      </c>
      <c r="G11" s="142"/>
      <c r="H11" s="143" t="s">
        <v>414</v>
      </c>
      <c r="I11" s="142" t="s">
        <v>58</v>
      </c>
      <c r="J11" s="144">
        <v>146</v>
      </c>
      <c r="K11" s="152">
        <v>2025</v>
      </c>
      <c r="N11" s="176" t="s">
        <v>270</v>
      </c>
      <c r="O11" s="176"/>
      <c r="P11" s="177"/>
      <c r="Q11" s="183"/>
      <c r="R11" s="178"/>
      <c r="S11" s="182">
        <f>IF($N$11=Faktoren!C59,$P$11*Faktoren!E59,0)+IF($N$11=Faktoren!C60,$P$11*Faktoren!E60,0)+IF($N$11=Faktoren!C61,$P$11*Faktoren!E61,0)+IF($N$11=Faktoren!C62,$P$11*Faktoren!E62,0)+IF($N$11=Faktoren!C63,$P$11*Faktoren!E63,0)+IF($N$11=Faktoren!C64,$P$11*Faktoren!E64,0)+IF($N$11=Faktoren!C65,$P$11*Faktoren!E65,0)+IF($N$11=Faktoren!C66,$P$11*Faktoren!E66,0)+IF($N$11=Faktoren!C67,$P$11*Faktoren!E67,0)+IF($N$11=Faktoren!C67,$P$11*Faktoren!E67,0)+IF($N$11=Faktoren!C68,$P$11*Faktoren!E68,0)+IF($N$11=Faktoren!C69,$P$11*Faktoren!E69,0)+IF($N$11=Faktoren!C70,$P$11*Faktoren!E70,0)+IF($N$11=Faktoren!C71,$P$11*Faktoren!E71,0)+IF($N$11=Faktoren!C72,$P$11*Faktoren!E72,0)+IF($N$11=Faktoren!C72,$P$11*Faktoren!E72,0)+IF($N$11=Faktoren!C73,$P$11*Faktoren!E73,0)+IF($N$11=Faktoren!C74,$P$11*Faktoren!E74,0)+IF($N$11=Faktoren!C75,$P$11*Faktoren!E75,0)+IF($N$11=Faktoren!C76,$P$11*Faktoren!E76,0)+IF($N$11=Faktoren!C77,$P$11*Faktoren!E77,0)+IF($N$11=Faktoren!C78,$P$11*Faktoren!E78,0)+IF($N$11=Faktoren!C79,$P$11*Faktoren!E79,0)+IF($N$11=Faktoren!C80,$P$11*Faktoren!E80,0)+IF($N$11=Faktoren!C81,$P$11*Faktoren!E81,0)+IF($N$11=Faktoren!C82,$P$11*Faktoren!E82,0)+IF($N$11=Faktoren!C83,$P$11*Faktoren!E83,0)++IF($N$11=Faktoren!C84,$P$11*Faktoren!E84,0)+IF($N$11=Faktoren!C85,$P$11*Faktoren!E85,0)+IF($N$11=Faktoren!C86,$P$11*Faktoren!E86,0)+IF($N$11=Faktoren!C87,$P$11*Faktoren!E87,0)+IF($N$11=Faktoren!C88,$P$11*Faktoren!E88,0)+IF($N$11=Faktoren!C89,$P$11*Faktoren!E89,0)+IF($N$11=Faktoren!C90,$P$11*Faktoren!E90,0)+IF($N$11=Faktoren!C91,$P$11*Faktoren!E91,0)+IF($N$11=Faktoren!C92,$P$11*Faktoren!E92,0)+IF($N$11=Faktoren!C93,$P$11*Faktoren!E93,0)+IF($N$11=Faktoren!C94,$P$11*Faktoren!E94,0)+IF($N$11=Faktoren!C95,$P$11*Faktoren!E95,0)+IF($N$11=Faktoren!C96,$P$11*Faktoren!E96,0)+IF($N$11=Faktoren!C97,$P$11*Faktoren!E97,0)+IF($N$11=Faktoren!C98,$P$11*Faktoren!E98,0)+IF($N$11=Faktoren!C99,$P$11*Faktoren!E99,0)+IF($N$11=Faktoren!C100,$P$11*Faktoren!E100,0)+IF($N$11=Faktoren!C102,$P$11*Faktoren!E102,0)+IF($N$11=Faktoren!C103,$P$11*Faktoren!E103,0)+IF($N$11=Faktoren!C104,$P$11*Faktoren!E104,0)+IF($N$11=Faktoren!C105,$P$11*Faktoren!E105,0)+IF($N$11=Faktoren!C106,$P$11*Faktoren!E106,0)+IF($N$11=Faktoren!C107,$P$11*Faktoren!E107,0)+IF($N$11=Faktoren!C108,$P$11*Faktoren!E108,0)+IF($N$11=Faktoren!C109,$P$11*Faktoren!E109,0)+IF($N$11=Faktoren!C110,$P$11*Faktoren!E110,0)+IF($N$11=Faktoren!C111,$P$11*Faktoren!E111,0)+IF($N$11=Faktoren!C112,$P$11*Faktoren!E112,0)+IF($N$11=Faktoren!C113,$P$11*Faktoren!E113,0)+IF($N$11=Faktoren!C114,$P$11*Faktoren!E114,0)+IF($N$11=Faktoren!C115,$P$11*Faktoren!E115,0)+IF($N$11=Faktoren!C116,$P$11*Faktoren!E116,0)+IF($N$11=Faktoren!C117,$P$11*Faktoren!E117,0)+IF($N$11=Faktoren!C118,$P$11*Faktoren!E118,0)+IF($N$11=Faktoren!C119,$P$11*Faktoren!E119,0)+IF($N$11=Faktoren!C120,$P$11*Faktoren!E120,0)+IF($N$11=Faktoren!C121,$P$11*Faktoren!E121,0)+IF($N$11=Faktoren!C122,$P$11*Faktoren!E122,0)</f>
        <v>0</v>
      </c>
    </row>
    <row r="12" spans="1:19" ht="50.1" customHeight="1" x14ac:dyDescent="0.25">
      <c r="A12" s="255" t="s">
        <v>415</v>
      </c>
      <c r="B12" s="222" t="s">
        <v>416</v>
      </c>
      <c r="C12" s="222" t="s">
        <v>417</v>
      </c>
      <c r="D12" s="238">
        <v>46357</v>
      </c>
      <c r="E12" s="222"/>
      <c r="F12" s="222" t="s">
        <v>80</v>
      </c>
      <c r="G12" s="222"/>
      <c r="H12" s="222" t="s">
        <v>71</v>
      </c>
      <c r="I12" s="222" t="s">
        <v>58</v>
      </c>
      <c r="J12" s="239">
        <v>140</v>
      </c>
      <c r="K12" s="256">
        <v>2027</v>
      </c>
    </row>
    <row r="13" spans="1:19" ht="50.1" customHeight="1" x14ac:dyDescent="0.25">
      <c r="A13" s="189" t="s">
        <v>418</v>
      </c>
      <c r="B13" s="215" t="s">
        <v>419</v>
      </c>
      <c r="C13" s="216" t="s">
        <v>420</v>
      </c>
      <c r="D13" s="217">
        <v>46692</v>
      </c>
      <c r="E13" s="218" t="s">
        <v>80</v>
      </c>
      <c r="F13" s="218" t="s">
        <v>80</v>
      </c>
      <c r="G13" s="218"/>
      <c r="H13" s="216" t="s">
        <v>404</v>
      </c>
      <c r="I13" s="218" t="s">
        <v>58</v>
      </c>
      <c r="J13" s="235"/>
      <c r="K13" s="152"/>
    </row>
    <row r="14" spans="1:19" ht="50.1" customHeight="1" x14ac:dyDescent="0.25">
      <c r="A14" s="255"/>
      <c r="B14" s="222"/>
      <c r="C14" s="222"/>
      <c r="D14" s="238"/>
      <c r="E14" s="222"/>
      <c r="F14" s="222"/>
      <c r="G14" s="222"/>
      <c r="H14" s="222"/>
      <c r="I14" s="222"/>
      <c r="J14" s="239"/>
      <c r="K14" s="256"/>
    </row>
    <row r="15" spans="1:19" ht="24" customHeight="1" x14ac:dyDescent="0.25">
      <c r="A15" s="147"/>
      <c r="B15" s="219"/>
      <c r="C15" s="220"/>
      <c r="D15" s="219"/>
      <c r="E15" s="220"/>
      <c r="F15" s="220"/>
      <c r="G15" s="220"/>
      <c r="H15" s="220"/>
      <c r="I15" s="221" t="s">
        <v>87</v>
      </c>
      <c r="J15" s="151">
        <f>SUM(J8:J13)</f>
        <v>432</v>
      </c>
      <c r="K15" s="151"/>
      <c r="M15" s="18"/>
    </row>
    <row r="16" spans="1:19" ht="24.75" customHeight="1" x14ac:dyDescent="0.25">
      <c r="N16" s="328" t="s">
        <v>421</v>
      </c>
      <c r="O16" s="328"/>
      <c r="P16" s="328"/>
    </row>
    <row r="17" spans="14:19" ht="57.75" customHeight="1" x14ac:dyDescent="0.25">
      <c r="N17" s="281" t="s">
        <v>422</v>
      </c>
      <c r="O17" s="281"/>
      <c r="P17" s="281"/>
      <c r="Q17" s="281"/>
      <c r="R17" s="1"/>
    </row>
    <row r="18" spans="14:19" ht="36.75" customHeight="1" x14ac:dyDescent="0.25">
      <c r="N18" s="89" t="s">
        <v>423</v>
      </c>
      <c r="O18" s="89" t="s">
        <v>424</v>
      </c>
      <c r="P18" s="90" t="s">
        <v>425</v>
      </c>
      <c r="Q18" s="91" t="s">
        <v>426</v>
      </c>
    </row>
    <row r="19" spans="14:19" ht="30" customHeight="1" x14ac:dyDescent="0.25">
      <c r="N19" s="87" t="s">
        <v>427</v>
      </c>
      <c r="O19" s="164"/>
      <c r="P19" s="96">
        <v>0</v>
      </c>
      <c r="Q19" s="112">
        <f>Wärme!P19*'Übersicht Emissionsfaktoren'!E110*0.7</f>
        <v>0</v>
      </c>
    </row>
    <row r="20" spans="14:19" ht="30" customHeight="1" x14ac:dyDescent="0.25">
      <c r="N20" s="87" t="s">
        <v>353</v>
      </c>
      <c r="O20" s="164"/>
      <c r="P20" s="97">
        <v>0</v>
      </c>
      <c r="Q20" s="112">
        <f>P20*'Übersicht Emissionsfaktoren'!E111*0.7</f>
        <v>0</v>
      </c>
      <c r="R20" s="84"/>
    </row>
    <row r="21" spans="14:19" ht="30" customHeight="1" x14ac:dyDescent="0.25">
      <c r="N21" s="87" t="s">
        <v>354</v>
      </c>
      <c r="O21" s="164"/>
      <c r="P21" s="97">
        <v>0</v>
      </c>
      <c r="Q21" s="112">
        <f>P21*'Übersicht Emissionsfaktoren'!E112*0.7</f>
        <v>0</v>
      </c>
      <c r="R21" s="84"/>
    </row>
    <row r="22" spans="14:19" ht="30" customHeight="1" x14ac:dyDescent="0.25">
      <c r="N22" s="87" t="s">
        <v>355</v>
      </c>
      <c r="O22" s="164"/>
      <c r="P22" s="98">
        <v>0</v>
      </c>
      <c r="Q22" s="112">
        <f>P22*'Übersicht Emissionsfaktoren'!E113*0.7</f>
        <v>0</v>
      </c>
      <c r="R22" s="84"/>
      <c r="S22" s="84"/>
    </row>
    <row r="23" spans="14:19" ht="30" customHeight="1" x14ac:dyDescent="0.25">
      <c r="N23" s="87" t="s">
        <v>356</v>
      </c>
      <c r="O23" s="164"/>
      <c r="P23" s="98">
        <v>0</v>
      </c>
      <c r="Q23" s="112">
        <f>P23*'Übersicht Emissionsfaktoren'!E114*0.92</f>
        <v>0</v>
      </c>
      <c r="R23" s="84"/>
      <c r="S23" s="84"/>
    </row>
    <row r="24" spans="14:19" ht="30" customHeight="1" x14ac:dyDescent="0.25">
      <c r="N24" s="87" t="s">
        <v>357</v>
      </c>
      <c r="O24" s="164"/>
      <c r="P24" s="98">
        <v>0</v>
      </c>
      <c r="Q24" s="112">
        <f>P24*'Übersicht Emissionsfaktoren'!E115*0.92</f>
        <v>0</v>
      </c>
      <c r="R24" s="84"/>
      <c r="S24" s="84"/>
    </row>
    <row r="25" spans="14:19" ht="30" customHeight="1" x14ac:dyDescent="0.25">
      <c r="N25" s="87" t="s">
        <v>359</v>
      </c>
      <c r="O25" s="164"/>
      <c r="P25" s="99">
        <v>0</v>
      </c>
      <c r="Q25" s="112">
        <f>P25*'Übersicht Emissionsfaktoren'!E116*0.86</f>
        <v>0</v>
      </c>
      <c r="R25" s="84"/>
      <c r="S25" s="84"/>
    </row>
    <row r="26" spans="14:19" ht="30" customHeight="1" x14ac:dyDescent="0.25">
      <c r="N26" s="87" t="s">
        <v>428</v>
      </c>
      <c r="O26" s="164"/>
      <c r="P26" s="104">
        <v>0</v>
      </c>
      <c r="Q26" s="105">
        <f>P26*'Übersicht Emissionsfaktoren'!E107</f>
        <v>0</v>
      </c>
      <c r="R26" s="84"/>
      <c r="S26" s="84"/>
    </row>
    <row r="27" spans="14:19" ht="30" customHeight="1" x14ac:dyDescent="0.25">
      <c r="N27" s="88" t="s">
        <v>429</v>
      </c>
      <c r="O27" s="164"/>
      <c r="P27" s="104">
        <v>0</v>
      </c>
      <c r="Q27" s="105">
        <f>P27*'Übersicht Emissionsfaktoren'!E108</f>
        <v>0</v>
      </c>
    </row>
    <row r="28" spans="14:19" ht="30" customHeight="1" x14ac:dyDescent="0.25"/>
    <row r="29" spans="14:19" ht="30" customHeight="1" x14ac:dyDescent="0.25"/>
    <row r="34" spans="3:3" x14ac:dyDescent="0.25">
      <c r="C34" s="85"/>
    </row>
    <row r="35" spans="3:3" x14ac:dyDescent="0.25">
      <c r="C35" s="85"/>
    </row>
    <row r="36" spans="3:3" x14ac:dyDescent="0.25">
      <c r="C36" s="85"/>
    </row>
    <row r="37" spans="3:3" x14ac:dyDescent="0.25">
      <c r="C37" s="85"/>
    </row>
    <row r="38" spans="3:3" x14ac:dyDescent="0.25">
      <c r="C38" s="85"/>
    </row>
    <row r="39" spans="3:3" x14ac:dyDescent="0.25">
      <c r="C39" s="85"/>
    </row>
    <row r="40" spans="3:3" x14ac:dyDescent="0.25">
      <c r="C40" s="85"/>
    </row>
    <row r="41" spans="3:3" x14ac:dyDescent="0.25">
      <c r="C41" s="85"/>
    </row>
    <row r="42" spans="3:3" x14ac:dyDescent="0.25">
      <c r="C42" s="85"/>
    </row>
    <row r="43" spans="3:3" x14ac:dyDescent="0.25">
      <c r="C43" s="85"/>
    </row>
    <row r="44" spans="3:3" x14ac:dyDescent="0.25">
      <c r="C44" s="85"/>
    </row>
    <row r="45" spans="3:3" x14ac:dyDescent="0.25">
      <c r="C45" s="85"/>
    </row>
    <row r="46" spans="3:3" x14ac:dyDescent="0.25">
      <c r="C46" s="85"/>
    </row>
    <row r="47" spans="3:3" x14ac:dyDescent="0.25">
      <c r="C47" s="85"/>
    </row>
    <row r="48" spans="3:3" x14ac:dyDescent="0.25">
      <c r="C48" s="85"/>
    </row>
  </sheetData>
  <sheetProtection selectLockedCells="1"/>
  <sortState xmlns:xlrd2="http://schemas.microsoft.com/office/spreadsheetml/2017/richdata2" ref="C34:C48">
    <sortCondition ref="C34:C48"/>
  </sortState>
  <mergeCells count="19">
    <mergeCell ref="R6:R7"/>
    <mergeCell ref="S6:S7"/>
    <mergeCell ref="N17:Q17"/>
    <mergeCell ref="Q6:Q7"/>
    <mergeCell ref="N6:N7"/>
    <mergeCell ref="P6:P7"/>
    <mergeCell ref="N16:P16"/>
    <mergeCell ref="O6:O7"/>
    <mergeCell ref="A6:A7"/>
    <mergeCell ref="B6:B7"/>
    <mergeCell ref="C6:C7"/>
    <mergeCell ref="D6:D7"/>
    <mergeCell ref="E6:E7"/>
    <mergeCell ref="K6:K7"/>
    <mergeCell ref="F6:F7"/>
    <mergeCell ref="G6:G7"/>
    <mergeCell ref="H6:H7"/>
    <mergeCell ref="I6:I7"/>
    <mergeCell ref="J6:J7"/>
  </mergeCells>
  <phoneticPr fontId="2" type="noConversion"/>
  <conditionalFormatting sqref="E8:F14">
    <cfRule type="containsText" dxfId="49" priority="8" operator="containsText" text="Umsetzung nicht möglich">
      <formula>NOT(ISERROR(SEARCH("Umsetzung nicht möglich",E8)))</formula>
    </cfRule>
  </conditionalFormatting>
  <conditionalFormatting sqref="E8:G14">
    <cfRule type="containsText" dxfId="48" priority="1" operator="containsText" text="Umsetzung nicht möglich">
      <formula>NOT(ISERROR(SEARCH("Umsetzung nicht möglich",E8)))</formula>
    </cfRule>
    <cfRule type="containsText" dxfId="47" priority="2" operator="containsText" text="bisher nicht umgesetzt">
      <formula>NOT(ISERROR(SEARCH("bisher nicht umgesetzt",E8)))</formula>
    </cfRule>
    <cfRule type="containsText" dxfId="46" priority="3" operator="containsText" text="zukünftiger Termin">
      <formula>NOT(ISERROR(SEARCH("zukünftiger Termin",E8)))</formula>
    </cfRule>
    <cfRule type="containsText" dxfId="45" priority="4" operator="containsText" text="In Umsetzung (Ende)">
      <formula>NOT(ISERROR(SEARCH("In Umsetzung (Ende)",E8)))</formula>
    </cfRule>
    <cfRule type="containsText" dxfId="44" priority="5" operator="containsText" text="In Umsetzung (Mitte)">
      <formula>NOT(ISERROR(SEARCH("In Umsetzung (Mitte)",E8)))</formula>
    </cfRule>
    <cfRule type="containsText" dxfId="43" priority="6" operator="containsText" text="In Umsetzung (Anfang)">
      <formula>NOT(ISERROR(SEARCH("In Umsetzung (Anfang)",E8)))</formula>
    </cfRule>
    <cfRule type="containsText" dxfId="42" priority="7" operator="containsText" text="umgesetzt">
      <formula>NOT(ISERROR(SEARCH("umgesetzt",E8)))</formula>
    </cfRule>
  </conditionalFormatting>
  <conditionalFormatting sqref="G10">
    <cfRule type="containsText" dxfId="41" priority="48" operator="containsText" text="Umsetzung nicht möglich">
      <formula>NOT(ISERROR(SEARCH("Umsetzung nicht möglich",G10)))</formula>
    </cfRule>
  </conditionalFormatting>
  <dataValidations count="3">
    <dataValidation type="list" allowBlank="1" showInputMessage="1" showErrorMessage="1" sqref="R8" xr:uid="{948CFA43-F96E-4794-97D5-FDF0A345BC75}">
      <formula1>"Absenkung um 1°C, Absenkung um 2°C, Absenkung um 3°C, Absenkung um 4°C"</formula1>
    </dataValidation>
    <dataValidation type="list" allowBlank="1" showInputMessage="1" showErrorMessage="1" sqref="O8:O11" xr:uid="{94330951-E7B4-4E16-ACD9-28A7F14B1FFF}">
      <formula1>"WÄ1,WÄ2,WÄ3,WÄ4,WÄ5,WÄ6,WÄ7,WÄ8,WÄ9,WÄ10,WÄ11,WÄ12,WÄ13,WÄ14,WÄ15,WÄ16,WÄ17,WÄ18,WÄ19,WÄ20"</formula1>
    </dataValidation>
    <dataValidation type="decimal" allowBlank="1" showInputMessage="1" showErrorMessage="1" sqref="R9:R10" xr:uid="{1A2D3A7E-BE0C-4E11-B144-19EEA57542CB}">
      <formula1>0</formula1>
      <formula2>1</formula2>
    </dataValidation>
  </dataValidations>
  <pageMargins left="0.7" right="0.7" top="0.78740157499999996" bottom="0.78740157499999996" header="0.3" footer="0.3"/>
  <pageSetup paperSize="9" orientation="landscape"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AB4BE1DB-C5D5-4E85-94B5-7E879DD6B5F7}">
          <x14:formula1>
            <xm:f>Faktoren!$C$54</xm:f>
          </x14:formula1>
          <xm:sqref>N8</xm:sqref>
        </x14:dataValidation>
        <x14:dataValidation type="list" allowBlank="1" showInputMessage="1" showErrorMessage="1" xr:uid="{0774E63D-47F7-4148-8C96-43BDDD95A3E8}">
          <x14:formula1>
            <xm:f>Faktoren!$C$57</xm:f>
          </x14:formula1>
          <xm:sqref>N10</xm:sqref>
        </x14:dataValidation>
        <x14:dataValidation type="list" allowBlank="1" showInputMessage="1" showErrorMessage="1" xr:uid="{85281AC7-6978-4096-BCE3-DFD1872C9144}">
          <x14:formula1>
            <xm:f>Faktoren!$C$56</xm:f>
          </x14:formula1>
          <xm:sqref>N9</xm:sqref>
        </x14:dataValidation>
        <x14:dataValidation type="list" allowBlank="1" showInputMessage="1" showErrorMessage="1" xr:uid="{C2249E8F-54D2-4351-B401-520683D46D71}">
          <x14:formula1>
            <xm:f>Faktoren!$C$59:$C$122</xm:f>
          </x14:formula1>
          <xm:sqref>N11</xm:sqref>
        </x14:dataValidation>
        <x14:dataValidation type="list" allowBlank="1" showInputMessage="1" showErrorMessage="1" xr:uid="{1A0A43CD-0C93-49F2-800B-7237095C8D77}">
          <x14:formula1>
            <xm:f>Faktoren!$C$125:$C$138</xm:f>
          </x14:formula1>
          <xm:sqref>Q8:Q10</xm:sqref>
        </x14:dataValidation>
        <x14:dataValidation type="list" allowBlank="1" showInputMessage="1" showErrorMessage="1" xr:uid="{D3D73FA5-29C3-4F1D-A9C6-609EF63CE6DD}">
          <x14:formula1>
            <xm:f>Status!$H$3:$H$27</xm:f>
          </x14:formula1>
          <xm:sqref>K8:K14</xm:sqref>
        </x14:dataValidation>
        <x14:dataValidation type="list" allowBlank="1" showInputMessage="1" showErrorMessage="1" xr:uid="{F70F3397-15CF-4BE9-B478-14F378253BAA}">
          <x14:formula1>
            <xm:f>Status!$E$3:$E$8</xm:f>
          </x14:formula1>
          <xm:sqref>I8:I14</xm:sqref>
        </x14:dataValidation>
        <x14:dataValidation type="list" allowBlank="1" showInputMessage="1" showErrorMessage="1" xr:uid="{047273E3-0B5C-417D-BB43-06DEA0770689}">
          <x14:formula1>
            <xm:f>Status!$A$2:$A$10</xm:f>
          </x14:formula1>
          <xm:sqref>E8:F14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tabColor rgb="FF1F324F"/>
  </sheetPr>
  <dimension ref="A6:R30"/>
  <sheetViews>
    <sheetView showGridLines="0" topLeftCell="A8" zoomScale="58" zoomScaleNormal="130" workbookViewId="0">
      <selection activeCell="M14" sqref="M14"/>
    </sheetView>
  </sheetViews>
  <sheetFormatPr baseColWidth="10" defaultColWidth="11.42578125" defaultRowHeight="15" x14ac:dyDescent="0.25"/>
  <cols>
    <col min="1" max="1" width="5.5703125" customWidth="1"/>
    <col min="2" max="2" width="19.7109375" customWidth="1"/>
    <col min="3" max="3" width="27.7109375" customWidth="1"/>
    <col min="4" max="4" width="9.7109375" customWidth="1"/>
    <col min="5" max="7" width="11.7109375" customWidth="1"/>
    <col min="8" max="11" width="13.7109375" customWidth="1"/>
    <col min="13" max="13" width="10.140625" customWidth="1"/>
    <col min="14" max="14" width="40.7109375" customWidth="1"/>
    <col min="15" max="15" width="20.7109375" customWidth="1"/>
    <col min="16" max="16" width="30.7109375" customWidth="1"/>
    <col min="17" max="17" width="27.140625" customWidth="1"/>
    <col min="18" max="18" width="25.5703125" customWidth="1"/>
  </cols>
  <sheetData>
    <row r="6" spans="1:18" ht="30" customHeight="1" x14ac:dyDescent="0.25">
      <c r="A6" s="329" t="s">
        <v>40</v>
      </c>
      <c r="B6" s="329" t="s">
        <v>41</v>
      </c>
      <c r="C6" s="329" t="s">
        <v>88</v>
      </c>
      <c r="D6" s="329" t="s">
        <v>43</v>
      </c>
      <c r="E6" s="329" t="str">
        <f>"Status
1. Bewerbung"&amp;CHAR(10)&amp;Überblick!$F$14</f>
        <v>Status
1. Bewerbung
2025</v>
      </c>
      <c r="F6" s="329" t="str">
        <f>"Status
2. Bewerbung"&amp;CHAR(10)&amp;Überblick!$F$16</f>
        <v>Status
2. Bewerbung
2026</v>
      </c>
      <c r="G6" s="329" t="str">
        <f>"Status 
3. Bewerbung"&amp;CHAR(10)&amp;Überblick!$F$18</f>
        <v xml:space="preserve">Status 
3. Bewerbung
</v>
      </c>
      <c r="H6" s="329" t="s">
        <v>44</v>
      </c>
      <c r="I6" s="329" t="s">
        <v>45</v>
      </c>
      <c r="J6" s="329" t="s">
        <v>46</v>
      </c>
      <c r="K6" s="329" t="s">
        <v>47</v>
      </c>
      <c r="N6" s="333" t="s">
        <v>48</v>
      </c>
      <c r="O6" s="331" t="s">
        <v>49</v>
      </c>
      <c r="P6" s="331" t="s">
        <v>430</v>
      </c>
      <c r="Q6" s="331" t="s">
        <v>51</v>
      </c>
      <c r="R6" s="331" t="s">
        <v>52</v>
      </c>
    </row>
    <row r="7" spans="1:18" ht="30" customHeight="1" x14ac:dyDescent="0.25">
      <c r="A7" s="330"/>
      <c r="B7" s="330"/>
      <c r="C7" s="330"/>
      <c r="D7" s="330"/>
      <c r="E7" s="330"/>
      <c r="F7" s="330"/>
      <c r="G7" s="330"/>
      <c r="H7" s="330"/>
      <c r="I7" s="330"/>
      <c r="J7" s="330"/>
      <c r="K7" s="330"/>
      <c r="N7" s="334"/>
      <c r="O7" s="332"/>
      <c r="P7" s="332"/>
      <c r="Q7" s="332"/>
      <c r="R7" s="332"/>
    </row>
    <row r="8" spans="1:18" ht="50.1" customHeight="1" x14ac:dyDescent="0.25">
      <c r="A8" s="200" t="s">
        <v>431</v>
      </c>
      <c r="B8" s="145" t="s">
        <v>432</v>
      </c>
      <c r="C8" s="142" t="s">
        <v>433</v>
      </c>
      <c r="D8" s="153">
        <v>43466</v>
      </c>
      <c r="E8" s="142" t="s">
        <v>56</v>
      </c>
      <c r="F8" s="142" t="s">
        <v>56</v>
      </c>
      <c r="G8" s="142"/>
      <c r="H8" s="142" t="s">
        <v>434</v>
      </c>
      <c r="I8" s="142" t="s">
        <v>63</v>
      </c>
      <c r="J8" s="144"/>
      <c r="K8" s="152"/>
      <c r="N8" s="168"/>
      <c r="O8" s="143"/>
      <c r="P8" s="173"/>
      <c r="Q8" s="174"/>
      <c r="R8" s="175">
        <f>IF(N8="Schülerfahrten: Flugreise durch Busreise ersetzen (bei gleicher Streckenlänge)",P8*Faktoren!$E$43,0)+IF(N8="Schülerfahrten: Flugreise durch Bahnreise ersetzen (bei gleicher Streckenlänge)",P8*Faktoren!$E$44,0)</f>
        <v>0</v>
      </c>
    </row>
    <row r="9" spans="1:18" ht="50.1" customHeight="1" x14ac:dyDescent="0.25">
      <c r="A9" s="200" t="s">
        <v>435</v>
      </c>
      <c r="B9" s="203" t="s">
        <v>436</v>
      </c>
      <c r="C9" s="143" t="s">
        <v>437</v>
      </c>
      <c r="D9" s="153">
        <v>45292</v>
      </c>
      <c r="E9" s="142" t="s">
        <v>75</v>
      </c>
      <c r="F9" s="142" t="s">
        <v>75</v>
      </c>
      <c r="G9" s="142"/>
      <c r="H9" s="143" t="s">
        <v>364</v>
      </c>
      <c r="I9" s="142" t="s">
        <v>58</v>
      </c>
      <c r="J9" s="144"/>
      <c r="K9" s="152"/>
      <c r="N9" s="168"/>
      <c r="O9" s="143"/>
      <c r="P9" s="173"/>
      <c r="Q9" s="174"/>
      <c r="R9" s="175">
        <f>IF(N9="Schülerfahrten: Flugreise durch Busreise ersetzen (bei gleicher Streckenlänge)",P9*Faktoren!$E$43,0)+IF(N9="Schülerfahrten: Flugreise durch Bahnreise ersetzen (bei gleicher Streckenlänge)",P9*Faktoren!$E$44,0)</f>
        <v>0</v>
      </c>
    </row>
    <row r="10" spans="1:18" ht="50.1" customHeight="1" x14ac:dyDescent="0.25">
      <c r="A10" s="200" t="s">
        <v>438</v>
      </c>
      <c r="B10" s="145" t="s">
        <v>439</v>
      </c>
      <c r="C10" s="143" t="s">
        <v>440</v>
      </c>
      <c r="D10" s="153">
        <v>45717</v>
      </c>
      <c r="E10" s="142" t="s">
        <v>81</v>
      </c>
      <c r="F10" s="142" t="s">
        <v>81</v>
      </c>
      <c r="G10" s="142"/>
      <c r="H10" s="143" t="s">
        <v>441</v>
      </c>
      <c r="I10" s="142" t="s">
        <v>58</v>
      </c>
      <c r="J10" s="144"/>
      <c r="K10" s="152"/>
      <c r="N10" s="168" t="s">
        <v>249</v>
      </c>
      <c r="O10" s="143" t="s">
        <v>442</v>
      </c>
      <c r="P10" s="173">
        <v>386.8</v>
      </c>
      <c r="Q10" s="171">
        <v>1</v>
      </c>
      <c r="R10" s="175">
        <f>IF(N10="Auto: Fahrgemeinschaften bilden (Wechsel von Alleinfahrt (Verbrenner) zur Fahrgemeinschaft (Verbrenner))",P10*Q10*Faktoren!$E$36,0)+IF(N10="Auto: Alleinfahrten mit dem Auto reduzieren",P10*Q10*Faktoren!$E$37,0)+IF(N10="Auto (Verbrenner) durch e-Auto ersetzen",P10*Q10*Faktoren!$E$38,0)+IF(N10="eAuto: Fahrgemeinschaften bilden (Wechsel von Alleinfahrt (eAuto) zur Fahrgemeinschaft (eAuto))",P10*Q10*Faktoren!$E$39,0)+IF(N10="eAuto: Alleinfahrten mit dem e-Auto reduzieren",P10*Q10*Faktoren!$E$41,0)+IF(N10="Flugzeug: Flugreisen reduzieren",P10*Q10*Faktoren!$E$41,0)+IF(N10="Reisebus: Fahrten mit den Reisebus vermeiden",P10*Q10*Faktoren!$E$42,0)</f>
        <v>13.924799999999999</v>
      </c>
    </row>
    <row r="11" spans="1:18" ht="50.1" customHeight="1" x14ac:dyDescent="0.25">
      <c r="A11" s="200" t="s">
        <v>443</v>
      </c>
      <c r="B11" s="145" t="s">
        <v>444</v>
      </c>
      <c r="C11" s="143" t="s">
        <v>445</v>
      </c>
      <c r="D11" s="153">
        <v>45748</v>
      </c>
      <c r="E11" s="142" t="s">
        <v>81</v>
      </c>
      <c r="F11" s="142" t="s">
        <v>56</v>
      </c>
      <c r="G11" s="142"/>
      <c r="H11" s="143" t="s">
        <v>441</v>
      </c>
      <c r="I11" s="142" t="s">
        <v>63</v>
      </c>
      <c r="J11" s="144">
        <v>1092</v>
      </c>
      <c r="K11" s="152">
        <v>2027</v>
      </c>
      <c r="N11" s="168" t="s">
        <v>244</v>
      </c>
      <c r="O11" s="143" t="s">
        <v>446</v>
      </c>
      <c r="P11" s="173">
        <v>197827</v>
      </c>
      <c r="Q11" s="214">
        <v>0.1</v>
      </c>
      <c r="R11" s="175">
        <f>IF(N11="Auto: Fahrgemeinschaften bilden (Wechsel von Alleinfahrt (Verbrenner) zur Fahrgemeinschaft (Verbrenner))",P11*Q11*Faktoren!$E$36,0)+IF(N11="Auto: Alleinfahrten mit dem Auto reduzieren",P11*Q11*Faktoren!$E$37,0)+IF(N11="Auto (Verbrenner) durch e-Auto ersetzen",P11*Q11*Faktoren!$E$38,0)+IF(N11="eAuto: Fahrgemeinschaften bilden (Wechsel von Alleinfahrt (eAuto) zur Fahrgemeinschaft (eAuto))",P11*Q11*Faktoren!$E$39,0)+IF(N11="eAuto: Alleinfahrten mit dem e-Auto reduzieren",P11*Q11*Faktoren!$E$41,0)+IF(N11="Flugzeug: Flugreisen reduzieren",P11*Q11*Faktoren!$E$41,0)+IF(N11="Reisebus: Fahrten mit den Reisebus vermeiden",P11*Q11*Faktoren!$E$42,0)</f>
        <v>4209.7585600000002</v>
      </c>
    </row>
    <row r="12" spans="1:18" ht="50.1" customHeight="1" x14ac:dyDescent="0.25">
      <c r="A12" s="187" t="s">
        <v>447</v>
      </c>
      <c r="B12" s="215" t="s">
        <v>448</v>
      </c>
      <c r="C12" s="216" t="s">
        <v>449</v>
      </c>
      <c r="D12" s="217">
        <v>45901</v>
      </c>
      <c r="E12" s="218" t="s">
        <v>80</v>
      </c>
      <c r="F12" s="218" t="s">
        <v>56</v>
      </c>
      <c r="G12" s="218"/>
      <c r="H12" s="216" t="s">
        <v>450</v>
      </c>
      <c r="I12" s="218" t="s">
        <v>58</v>
      </c>
      <c r="J12" s="235">
        <v>14</v>
      </c>
      <c r="K12" s="236">
        <v>2026</v>
      </c>
      <c r="N12" s="168" t="s">
        <v>244</v>
      </c>
      <c r="O12" s="143" t="s">
        <v>443</v>
      </c>
      <c r="P12" s="173">
        <v>51326</v>
      </c>
      <c r="Q12" s="214">
        <v>0.1</v>
      </c>
      <c r="R12" s="175">
        <f>IF(N12="Auto: Fahrgemeinschaften bilden (Wechsel von Alleinfahrt (Verbrenner) zur Fahrgemeinschaft (Verbrenner))",P12*Q12*Faktoren!$E$36,0)+IF(N12="Auto: Alleinfahrten mit dem Auto reduzieren",P12*Q12*Faktoren!$E$37,0)+IF(N12="Auto (Verbrenner) durch e-Auto ersetzen",P12*Q12*Faktoren!$E$38,0)+IF(N12="eAuto: Fahrgemeinschaften bilden (Wechsel von Alleinfahrt (eAuto) zur Fahrgemeinschaft (eAuto))",P12*Q12*Faktoren!$E$39,0)+IF(N12="eAuto: Alleinfahrten mit dem e-Auto reduzieren",P12*Q12*Faktoren!$E$41,0)+IF(N12="Flugzeug: Flugreisen reduzieren",P12*Q12*Faktoren!$E$41,0)+IF(N12="Reisebus: Fahrten mit den Reisebus vermeiden",P12*Q12*Faktoren!$E$42,0)</f>
        <v>1092.2172800000001</v>
      </c>
    </row>
    <row r="13" spans="1:18" ht="50.1" customHeight="1" x14ac:dyDescent="0.25">
      <c r="A13" s="246" t="s">
        <v>451</v>
      </c>
      <c r="B13" s="247" t="s">
        <v>452</v>
      </c>
      <c r="C13" s="247" t="s">
        <v>453</v>
      </c>
      <c r="D13" s="248">
        <v>45901</v>
      </c>
      <c r="E13" s="247"/>
      <c r="F13" s="247" t="s">
        <v>56</v>
      </c>
      <c r="G13" s="247"/>
      <c r="H13" s="247" t="s">
        <v>107</v>
      </c>
      <c r="I13" s="247" t="s">
        <v>58</v>
      </c>
      <c r="J13" s="249">
        <v>4210</v>
      </c>
      <c r="K13" s="250">
        <v>2026</v>
      </c>
      <c r="N13" s="168" t="s">
        <v>244</v>
      </c>
      <c r="O13" s="143" t="s">
        <v>454</v>
      </c>
      <c r="P13" s="173">
        <v>197827</v>
      </c>
      <c r="Q13" s="214">
        <v>0.01</v>
      </c>
      <c r="R13" s="175">
        <f>IF(N13="Auto: Fahrgemeinschaften bilden (Wechsel von Alleinfahrt (Verbrenner) zur Fahrgemeinschaft (Verbrenner))",P13*Q13*Faktoren!$E$36,0)+IF(N13="Auto: Alleinfahrten mit dem Auto reduzieren",P13*Q13*Faktoren!$E$37,0)+IF(N13="Auto (Verbrenner) durch e-Auto ersetzen",P13*Q13*Faktoren!$E$38,0)+IF(N13="eAuto: Fahrgemeinschaften bilden (Wechsel von Alleinfahrt (eAuto) zur Fahrgemeinschaft (eAuto))",P13*Q13*Faktoren!$E$39,0)+IF(N13="eAuto: Alleinfahrten mit dem e-Auto reduzieren",P13*Q13*Faktoren!$E$41,0)+IF(N13="Flugzeug: Flugreisen reduzieren",P13*Q13*Faktoren!$E$41,0)+IF(N13="Reisebus: Fahrten mit den Reisebus vermeiden",P13*Q13*Faktoren!$E$42,0)</f>
        <v>420.97585599999996</v>
      </c>
    </row>
    <row r="14" spans="1:18" ht="50.1" customHeight="1" x14ac:dyDescent="0.25">
      <c r="A14" s="242" t="s">
        <v>455</v>
      </c>
      <c r="B14" s="222" t="s">
        <v>456</v>
      </c>
      <c r="C14" s="222" t="s">
        <v>457</v>
      </c>
      <c r="D14" s="238">
        <v>46204</v>
      </c>
      <c r="E14" s="222"/>
      <c r="F14" s="222" t="s">
        <v>80</v>
      </c>
      <c r="G14" s="222"/>
      <c r="H14" s="222" t="s">
        <v>458</v>
      </c>
      <c r="I14" s="222" t="s">
        <v>58</v>
      </c>
      <c r="J14" s="239">
        <v>421</v>
      </c>
      <c r="K14" s="240">
        <v>2026</v>
      </c>
      <c r="N14" s="243"/>
      <c r="O14" s="227"/>
      <c r="P14" s="244"/>
      <c r="Q14" s="18"/>
      <c r="R14" s="245"/>
    </row>
    <row r="15" spans="1:18" ht="50.1" customHeight="1" x14ac:dyDescent="0.25">
      <c r="A15" s="242" t="s">
        <v>459</v>
      </c>
      <c r="B15" s="222" t="s">
        <v>460</v>
      </c>
      <c r="C15" s="222" t="s">
        <v>461</v>
      </c>
      <c r="D15" s="238">
        <v>46266</v>
      </c>
      <c r="E15" s="222"/>
      <c r="F15" s="222" t="s">
        <v>80</v>
      </c>
      <c r="G15" s="222"/>
      <c r="H15" s="222" t="s">
        <v>458</v>
      </c>
      <c r="I15" s="222" t="s">
        <v>164</v>
      </c>
      <c r="J15" s="239"/>
      <c r="K15" s="240"/>
      <c r="N15" s="243"/>
      <c r="O15" s="227"/>
      <c r="P15" s="244"/>
      <c r="Q15" s="18"/>
      <c r="R15" s="245"/>
    </row>
    <row r="16" spans="1:18" ht="50.1" customHeight="1" x14ac:dyDescent="0.25">
      <c r="A16" s="242"/>
      <c r="B16" s="227"/>
      <c r="C16" s="227"/>
      <c r="D16" s="228"/>
      <c r="E16" s="227"/>
      <c r="F16" s="227"/>
      <c r="G16" s="227"/>
      <c r="H16" s="227"/>
      <c r="I16" s="227"/>
      <c r="J16" s="229"/>
      <c r="K16" s="230"/>
      <c r="N16" s="243"/>
      <c r="O16" s="227"/>
      <c r="P16" s="244"/>
      <c r="Q16" s="18"/>
      <c r="R16" s="245"/>
    </row>
    <row r="17" spans="1:17" ht="24" customHeight="1" x14ac:dyDescent="0.25">
      <c r="A17" s="147"/>
      <c r="B17" s="219"/>
      <c r="C17" s="220"/>
      <c r="D17" s="219"/>
      <c r="E17" s="220"/>
      <c r="F17" s="220"/>
      <c r="G17" s="220"/>
      <c r="H17" s="220"/>
      <c r="I17" s="221" t="s">
        <v>87</v>
      </c>
      <c r="J17" s="151">
        <f>SUM(J8:J14)</f>
        <v>5737</v>
      </c>
      <c r="K17" s="151"/>
      <c r="P17" s="106"/>
    </row>
    <row r="23" spans="1:17" x14ac:dyDescent="0.25">
      <c r="M23" s="1"/>
      <c r="N23" s="76"/>
      <c r="O23" s="76"/>
      <c r="P23" s="1"/>
      <c r="Q23" s="1"/>
    </row>
    <row r="24" spans="1:17" x14ac:dyDescent="0.25">
      <c r="M24" s="21"/>
      <c r="N24" s="73"/>
      <c r="O24" s="73"/>
      <c r="P24" s="23"/>
      <c r="Q24" s="71"/>
    </row>
    <row r="25" spans="1:17" x14ac:dyDescent="0.25">
      <c r="M25" s="21"/>
      <c r="N25" s="73"/>
      <c r="O25" s="73"/>
      <c r="P25" s="23"/>
      <c r="Q25" s="71"/>
    </row>
    <row r="26" spans="1:17" x14ac:dyDescent="0.25">
      <c r="M26" s="21"/>
      <c r="N26" s="73"/>
      <c r="O26" s="73"/>
      <c r="P26" s="23"/>
      <c r="Q26" s="71"/>
    </row>
    <row r="27" spans="1:17" x14ac:dyDescent="0.25">
      <c r="M27" s="21"/>
      <c r="N27" s="73"/>
      <c r="O27" s="73"/>
      <c r="P27" s="23"/>
      <c r="Q27" s="71"/>
    </row>
    <row r="28" spans="1:17" x14ac:dyDescent="0.25">
      <c r="M28" s="21"/>
      <c r="N28" s="73"/>
      <c r="O28" s="73"/>
      <c r="P28" s="23"/>
      <c r="Q28" s="71"/>
    </row>
    <row r="29" spans="1:17" x14ac:dyDescent="0.25">
      <c r="M29" s="21"/>
      <c r="N29" s="70"/>
      <c r="O29" s="70"/>
      <c r="P29" s="29"/>
      <c r="Q29" s="71"/>
    </row>
    <row r="30" spans="1:17" x14ac:dyDescent="0.25">
      <c r="M30" s="21"/>
      <c r="N30" s="70"/>
      <c r="O30" s="70"/>
      <c r="P30" s="29"/>
      <c r="Q30" s="71"/>
    </row>
  </sheetData>
  <sheetProtection selectLockedCells="1"/>
  <mergeCells count="16">
    <mergeCell ref="A6:A7"/>
    <mergeCell ref="B6:B7"/>
    <mergeCell ref="C6:C7"/>
    <mergeCell ref="D6:D7"/>
    <mergeCell ref="R6:R7"/>
    <mergeCell ref="F6:F7"/>
    <mergeCell ref="G6:G7"/>
    <mergeCell ref="E6:E7"/>
    <mergeCell ref="I6:I7"/>
    <mergeCell ref="H6:H7"/>
    <mergeCell ref="N6:N7"/>
    <mergeCell ref="P6:P7"/>
    <mergeCell ref="Q6:Q7"/>
    <mergeCell ref="J6:J7"/>
    <mergeCell ref="K6:K7"/>
    <mergeCell ref="O6:O7"/>
  </mergeCells>
  <conditionalFormatting sqref="E8:G16">
    <cfRule type="containsText" dxfId="40" priority="1" operator="containsText" text="Umsetzung nicht möglich">
      <formula>NOT(ISERROR(SEARCH("Umsetzung nicht möglich",E8)))</formula>
    </cfRule>
    <cfRule type="containsText" dxfId="39" priority="2" operator="containsText" text="bisher nicht umgesetzt">
      <formula>NOT(ISERROR(SEARCH("bisher nicht umgesetzt",E8)))</formula>
    </cfRule>
    <cfRule type="containsText" dxfId="38" priority="3" operator="containsText" text="zukünftiger Termin">
      <formula>NOT(ISERROR(SEARCH("zukünftiger Termin",E8)))</formula>
    </cfRule>
    <cfRule type="containsText" dxfId="37" priority="4" operator="containsText" text="In Umsetzung (Ende)">
      <formula>NOT(ISERROR(SEARCH("In Umsetzung (Ende)",E8)))</formula>
    </cfRule>
    <cfRule type="containsText" dxfId="36" priority="5" operator="containsText" text="In Umsetzung (Mitte)">
      <formula>NOT(ISERROR(SEARCH("In Umsetzung (Mitte)",E8)))</formula>
    </cfRule>
    <cfRule type="containsText" dxfId="35" priority="6" operator="containsText" text="In Umsetzung (Anfang)">
      <formula>NOT(ISERROR(SEARCH("In Umsetzung (Anfang)",E8)))</formula>
    </cfRule>
    <cfRule type="containsText" dxfId="34" priority="7" operator="containsText" text="umgesetzt">
      <formula>NOT(ISERROR(SEARCH("umgesetzt",E8)))</formula>
    </cfRule>
  </conditionalFormatting>
  <conditionalFormatting sqref="E10:G10">
    <cfRule type="containsText" dxfId="33" priority="8" operator="containsText" text="Umsetzung nicht möglich">
      <formula>NOT(ISERROR(SEARCH("Umsetzung nicht möglich",E10)))</formula>
    </cfRule>
  </conditionalFormatting>
  <dataValidations count="3">
    <dataValidation type="list" allowBlank="1" showInputMessage="1" showErrorMessage="1" sqref="P24:P30" xr:uid="{65E00BE5-D391-44D0-B517-A0B34C6C0AEC}">
      <formula1>"10 %, 20 %, 30%, 40 %, 50 %, 60%, 70 %, 80 %, 90 %, 100 %"</formula1>
    </dataValidation>
    <dataValidation type="list" allowBlank="1" showInputMessage="1" showErrorMessage="1" sqref="O8:O16" xr:uid="{BEFBE8C7-3836-44C9-B1AB-FEC464C00C36}">
      <formula1>"MO1,MO2,MO3,MO4,MO5,MO6,MO7,MO8,MO9,MO10,MO11,MO12,MO13,MO14,MO15,MO16,MO17,MO18,MO19,MO20"</formula1>
    </dataValidation>
    <dataValidation type="decimal" allowBlank="1" showInputMessage="1" showErrorMessage="1" sqref="Q10" xr:uid="{8EA5F8D5-BEB2-4E65-BAD3-3E032AE63A56}">
      <formula1>0</formula1>
      <formula2>1</formula2>
    </dataValidation>
  </dataValidations>
  <pageMargins left="0.7" right="0.7" top="0.78740157499999996" bottom="0.78740157499999996"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04AC97-F533-40D1-B1BB-63F99F52A51B}">
          <x14:formula1>
            <xm:f>Faktoren!$C$43:$C$44</xm:f>
          </x14:formula1>
          <xm:sqref>N8:N9</xm:sqref>
        </x14:dataValidation>
        <x14:dataValidation type="list" allowBlank="1" showInputMessage="1" showErrorMessage="1" xr:uid="{C2F0C9D1-97E9-49D9-87FD-4CBAB15DCCFD}">
          <x14:formula1>
            <xm:f>Status!$H$3:$H$27</xm:f>
          </x14:formula1>
          <xm:sqref>K8:K16</xm:sqref>
        </x14:dataValidation>
        <x14:dataValidation type="list" allowBlank="1" showInputMessage="1" showErrorMessage="1" xr:uid="{DB8D6D20-1000-4A7D-A8D9-26255720B0C8}">
          <x14:formula1>
            <xm:f>Status!$E$3:$E$8</xm:f>
          </x14:formula1>
          <xm:sqref>I8:I16</xm:sqref>
        </x14:dataValidation>
        <x14:dataValidation type="list" allowBlank="1" showInputMessage="1" showErrorMessage="1" xr:uid="{0C6B98B1-CE48-4347-822F-3A0E4B1D478E}">
          <x14:formula1>
            <xm:f>Faktoren!$C$36:$C$42</xm:f>
          </x14:formula1>
          <xm:sqref>N10:N16</xm:sqref>
        </x14:dataValidation>
        <x14:dataValidation type="list" allowBlank="1" showInputMessage="1" showErrorMessage="1" xr:uid="{989583E8-6EAB-4D7B-8854-7F55BA4411B4}">
          <x14:formula1>
            <xm:f>Status!$A$2:$A$10</xm:f>
          </x14:formula1>
          <xm:sqref>E8:G16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A53B-2D4D-4FB1-BF8A-339724C1CD6B}">
  <sheetPr codeName="Tabelle20">
    <tabColor rgb="FFEE2C24"/>
  </sheetPr>
  <dimension ref="A12:J61"/>
  <sheetViews>
    <sheetView showGridLines="0" zoomScale="70" zoomScaleNormal="100" workbookViewId="0">
      <selection activeCell="G17" sqref="G17"/>
    </sheetView>
  </sheetViews>
  <sheetFormatPr baseColWidth="10" defaultColWidth="11.42578125" defaultRowHeight="15" x14ac:dyDescent="0.25"/>
  <cols>
    <col min="1" max="1" width="4.7109375" customWidth="1"/>
    <col min="2" max="2" width="19.7109375" customWidth="1"/>
    <col min="3" max="3" width="30.7109375" customWidth="1"/>
    <col min="4" max="4" width="9.7109375" customWidth="1"/>
    <col min="5" max="7" width="11.7109375" customWidth="1"/>
    <col min="8" max="9" width="16" customWidth="1"/>
    <col min="10" max="10" width="17.7109375" customWidth="1"/>
    <col min="11" max="11" width="18.7109375" customWidth="1"/>
  </cols>
  <sheetData>
    <row r="12" spans="1:10" ht="30" customHeight="1" x14ac:dyDescent="0.25">
      <c r="A12" s="335" t="s">
        <v>40</v>
      </c>
      <c r="B12" s="336" t="s">
        <v>41</v>
      </c>
      <c r="C12" s="335" t="s">
        <v>462</v>
      </c>
      <c r="D12" s="335" t="s">
        <v>43</v>
      </c>
      <c r="E12" s="335" t="str">
        <f>"Status
1. Bewerbung"&amp;CHAR(10)&amp;Überblick!$F$14</f>
        <v>Status
1. Bewerbung
2025</v>
      </c>
      <c r="F12" s="335" t="str">
        <f>"Status
2. Bewerbung"&amp;CHAR(10)&amp;Überblick!$F$16</f>
        <v>Status
2. Bewerbung
2026</v>
      </c>
      <c r="G12" s="335" t="str">
        <f>"Status 
3. Bewerbung"&amp;CHAR(10)&amp;Überblick!$F$18</f>
        <v xml:space="preserve">Status 
3. Bewerbung
</v>
      </c>
      <c r="H12" s="335" t="s">
        <v>89</v>
      </c>
      <c r="I12" s="335" t="s">
        <v>45</v>
      </c>
      <c r="J12" s="335" t="s">
        <v>463</v>
      </c>
    </row>
    <row r="13" spans="1:10" ht="30" customHeight="1" x14ac:dyDescent="0.25">
      <c r="A13" s="335"/>
      <c r="B13" s="337"/>
      <c r="C13" s="335"/>
      <c r="D13" s="335"/>
      <c r="E13" s="335"/>
      <c r="F13" s="335"/>
      <c r="G13" s="335"/>
      <c r="H13" s="335"/>
      <c r="I13" s="335"/>
      <c r="J13" s="335"/>
    </row>
    <row r="14" spans="1:10" ht="50.1" customHeight="1" x14ac:dyDescent="0.25">
      <c r="A14" s="190" t="s">
        <v>464</v>
      </c>
      <c r="B14" s="141" t="s">
        <v>465</v>
      </c>
      <c r="C14" s="142" t="s">
        <v>466</v>
      </c>
      <c r="D14" s="213">
        <v>45170</v>
      </c>
      <c r="E14" s="142" t="s">
        <v>56</v>
      </c>
      <c r="F14" s="142" t="s">
        <v>56</v>
      </c>
      <c r="G14" s="142"/>
      <c r="H14" s="142" t="s">
        <v>190</v>
      </c>
      <c r="I14" s="142" t="s">
        <v>63</v>
      </c>
      <c r="J14" s="142" t="s">
        <v>467</v>
      </c>
    </row>
    <row r="15" spans="1:10" ht="50.1" customHeight="1" x14ac:dyDescent="0.25">
      <c r="A15" s="190" t="s">
        <v>468</v>
      </c>
      <c r="B15" s="145" t="s">
        <v>469</v>
      </c>
      <c r="C15" s="143" t="s">
        <v>470</v>
      </c>
      <c r="D15" s="153">
        <v>45931</v>
      </c>
      <c r="E15" s="142"/>
      <c r="F15" s="142" t="s">
        <v>56</v>
      </c>
      <c r="G15" s="142"/>
      <c r="H15" s="143" t="s">
        <v>471</v>
      </c>
      <c r="I15" s="143" t="s">
        <v>58</v>
      </c>
      <c r="J15" s="143" t="s">
        <v>472</v>
      </c>
    </row>
    <row r="16" spans="1:10" ht="50.1" customHeight="1" x14ac:dyDescent="0.25">
      <c r="A16" s="190" t="s">
        <v>473</v>
      </c>
      <c r="B16" s="145" t="s">
        <v>474</v>
      </c>
      <c r="C16" s="143" t="s">
        <v>954</v>
      </c>
      <c r="D16" s="153">
        <v>45992</v>
      </c>
      <c r="E16" s="142"/>
      <c r="F16" s="142" t="s">
        <v>75</v>
      </c>
      <c r="G16" s="142"/>
      <c r="H16" s="143" t="s">
        <v>190</v>
      </c>
      <c r="I16" s="143" t="s">
        <v>63</v>
      </c>
      <c r="J16" s="143" t="s">
        <v>475</v>
      </c>
    </row>
    <row r="17" spans="1:10" ht="50.1" customHeight="1" x14ac:dyDescent="0.25">
      <c r="A17" s="191" t="s">
        <v>476</v>
      </c>
      <c r="B17" s="215" t="s">
        <v>477</v>
      </c>
      <c r="C17" s="216" t="s">
        <v>478</v>
      </c>
      <c r="D17" s="217">
        <v>45992</v>
      </c>
      <c r="E17" s="218"/>
      <c r="F17" s="218" t="s">
        <v>56</v>
      </c>
      <c r="G17" s="218"/>
      <c r="H17" s="216" t="s">
        <v>479</v>
      </c>
      <c r="I17" s="216" t="s">
        <v>63</v>
      </c>
      <c r="J17" s="216" t="s">
        <v>480</v>
      </c>
    </row>
    <row r="18" spans="1:10" ht="50.1" customHeight="1" x14ac:dyDescent="0.25">
      <c r="A18" s="264" t="s">
        <v>481</v>
      </c>
      <c r="B18" s="222" t="s">
        <v>482</v>
      </c>
      <c r="C18" s="222" t="s">
        <v>483</v>
      </c>
      <c r="D18" s="238">
        <v>46266</v>
      </c>
      <c r="E18" s="222"/>
      <c r="F18" s="222" t="s">
        <v>80</v>
      </c>
      <c r="G18" s="222"/>
      <c r="H18" s="222" t="s">
        <v>479</v>
      </c>
      <c r="I18" s="222" t="s">
        <v>58</v>
      </c>
      <c r="J18" s="222" t="s">
        <v>484</v>
      </c>
    </row>
    <row r="19" spans="1:10" ht="50.1" customHeight="1" x14ac:dyDescent="0.25">
      <c r="A19" s="264" t="s">
        <v>485</v>
      </c>
      <c r="B19" s="222" t="s">
        <v>486</v>
      </c>
      <c r="C19" s="222" t="s">
        <v>487</v>
      </c>
      <c r="D19" s="238">
        <v>46569</v>
      </c>
      <c r="E19" s="222"/>
      <c r="F19" s="222" t="s">
        <v>80</v>
      </c>
      <c r="G19" s="222"/>
      <c r="H19" s="222" t="s">
        <v>488</v>
      </c>
      <c r="I19" s="222" t="s">
        <v>58</v>
      </c>
      <c r="J19" s="222" t="s">
        <v>489</v>
      </c>
    </row>
    <row r="20" spans="1:10" ht="50.1" customHeight="1" x14ac:dyDescent="0.25">
      <c r="A20" s="264" t="s">
        <v>490</v>
      </c>
      <c r="B20" s="222"/>
      <c r="C20" s="222"/>
      <c r="D20" s="238"/>
      <c r="E20" s="222"/>
      <c r="F20" s="222"/>
      <c r="G20" s="222"/>
      <c r="H20" s="222"/>
      <c r="I20" s="222"/>
      <c r="J20" s="222"/>
    </row>
    <row r="21" spans="1:10" ht="24.75" customHeight="1" x14ac:dyDescent="0.25"/>
    <row r="22" spans="1:10" ht="57.75" customHeight="1" x14ac:dyDescent="0.25"/>
    <row r="23" spans="1:10" ht="36.75" customHeight="1" x14ac:dyDescent="0.25"/>
    <row r="24" spans="1:10" ht="30" customHeight="1" x14ac:dyDescent="0.25"/>
    <row r="25" spans="1:10" ht="30" customHeight="1" x14ac:dyDescent="0.25"/>
    <row r="26" spans="1:10" ht="30" customHeight="1" x14ac:dyDescent="0.25"/>
    <row r="27" spans="1:10" ht="30" customHeight="1" x14ac:dyDescent="0.25"/>
    <row r="28" spans="1:10" ht="30" customHeight="1" x14ac:dyDescent="0.25"/>
    <row r="29" spans="1:10" ht="30" customHeight="1" x14ac:dyDescent="0.25"/>
    <row r="30" spans="1:10" ht="30" customHeight="1" x14ac:dyDescent="0.25"/>
    <row r="31" spans="1:10" ht="30" customHeight="1" x14ac:dyDescent="0.25"/>
    <row r="32" spans="1:10" ht="30" customHeight="1" x14ac:dyDescent="0.25"/>
    <row r="33" spans="3:3" ht="30" customHeight="1" x14ac:dyDescent="0.25"/>
    <row r="34" spans="3:3" ht="30" customHeight="1" x14ac:dyDescent="0.25"/>
    <row r="47" spans="3:3" x14ac:dyDescent="0.25">
      <c r="C47" s="85"/>
    </row>
    <row r="48" spans="3:3" x14ac:dyDescent="0.25">
      <c r="C48" s="85"/>
    </row>
    <row r="49" spans="3:3" x14ac:dyDescent="0.25">
      <c r="C49" s="85"/>
    </row>
    <row r="50" spans="3:3" x14ac:dyDescent="0.25">
      <c r="C50" s="85"/>
    </row>
    <row r="51" spans="3:3" x14ac:dyDescent="0.25">
      <c r="C51" s="85"/>
    </row>
    <row r="52" spans="3:3" x14ac:dyDescent="0.25">
      <c r="C52" s="85"/>
    </row>
    <row r="53" spans="3:3" x14ac:dyDescent="0.25">
      <c r="C53" s="85"/>
    </row>
    <row r="54" spans="3:3" x14ac:dyDescent="0.25">
      <c r="C54" s="85"/>
    </row>
    <row r="55" spans="3:3" x14ac:dyDescent="0.25">
      <c r="C55" s="85"/>
    </row>
    <row r="56" spans="3:3" x14ac:dyDescent="0.25">
      <c r="C56" s="85"/>
    </row>
    <row r="57" spans="3:3" x14ac:dyDescent="0.25">
      <c r="C57" s="85"/>
    </row>
    <row r="58" spans="3:3" x14ac:dyDescent="0.25">
      <c r="C58" s="85"/>
    </row>
    <row r="59" spans="3:3" x14ac:dyDescent="0.25">
      <c r="C59" s="85"/>
    </row>
    <row r="60" spans="3:3" x14ac:dyDescent="0.25">
      <c r="C60" s="85"/>
    </row>
    <row r="61" spans="3:3" x14ac:dyDescent="0.25">
      <c r="C61" s="85"/>
    </row>
  </sheetData>
  <sheetProtection selectLockedCells="1"/>
  <mergeCells count="10">
    <mergeCell ref="G12:G13"/>
    <mergeCell ref="H12:H13"/>
    <mergeCell ref="I12:I13"/>
    <mergeCell ref="J12:J13"/>
    <mergeCell ref="A12:A13"/>
    <mergeCell ref="B12:B13"/>
    <mergeCell ref="C12:C13"/>
    <mergeCell ref="D12:D13"/>
    <mergeCell ref="E12:E13"/>
    <mergeCell ref="F12:F13"/>
  </mergeCells>
  <conditionalFormatting sqref="E14:G20">
    <cfRule type="containsText" dxfId="32" priority="1" operator="containsText" text="Umsetzung nicht möglich">
      <formula>NOT(ISERROR(SEARCH("Umsetzung nicht möglich",E14)))</formula>
    </cfRule>
    <cfRule type="containsText" dxfId="31" priority="2" operator="containsText" text="bisher nicht umgesetzt">
      <formula>NOT(ISERROR(SEARCH("bisher nicht umgesetzt",E14)))</formula>
    </cfRule>
    <cfRule type="containsText" dxfId="30" priority="3" operator="containsText" text="zukünftiger Termin">
      <formula>NOT(ISERROR(SEARCH("zukünftiger Termin",E14)))</formula>
    </cfRule>
    <cfRule type="containsText" dxfId="29" priority="4" operator="containsText" text="In Umsetzung (Ende)">
      <formula>NOT(ISERROR(SEARCH("In Umsetzung (Ende)",E14)))</formula>
    </cfRule>
    <cfRule type="containsText" dxfId="28" priority="5" operator="containsText" text="In Umsetzung (Mitte)">
      <formula>NOT(ISERROR(SEARCH("In Umsetzung (Mitte)",E14)))</formula>
    </cfRule>
    <cfRule type="containsText" dxfId="27" priority="6" operator="containsText" text="In Umsetzung (Anfang)">
      <formula>NOT(ISERROR(SEARCH("In Umsetzung (Anfang)",E14)))</formula>
    </cfRule>
    <cfRule type="containsText" dxfId="26" priority="7" operator="containsText" text="umgesetzt">
      <formula>NOT(ISERROR(SEARCH("umgesetzt",E14)))</formula>
    </cfRule>
  </conditionalFormatting>
  <conditionalFormatting sqref="E16:G16">
    <cfRule type="containsText" dxfId="25" priority="8" operator="containsText" text="Umsetzung nicht möglich">
      <formula>NOT(ISERROR(SEARCH("Umsetzung nicht möglich",E16)))</formula>
    </cfRule>
  </conditionalFormatting>
  <pageMargins left="0.7" right="0.7" top="0.78740157499999996" bottom="0.78740157499999996" header="0.3" footer="0.3"/>
  <pageSetup paperSize="9" orientation="landscape" horizontalDpi="0"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C4CA78-2011-4797-B54B-F99645323ADF}">
          <x14:formula1>
            <xm:f>Status!$A$2:$A$10</xm:f>
          </x14:formula1>
          <xm:sqref>E14:G20</xm:sqref>
        </x14:dataValidation>
        <x14:dataValidation type="list" allowBlank="1" showInputMessage="1" showErrorMessage="1" xr:uid="{286A6012-4758-4229-A493-ABA7B583CE45}">
          <x14:formula1>
            <xm:f>Status!$E$3:$E$8</xm:f>
          </x14:formula1>
          <xm:sqref>I14:I20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0BEEC-9E00-489F-95F0-9D1D3FF75A7F}">
  <sheetPr codeName="Tabelle19">
    <tabColor rgb="FF104F2D"/>
  </sheetPr>
  <dimension ref="A6:I53"/>
  <sheetViews>
    <sheetView showGridLines="0" zoomScale="67" zoomScaleNormal="100" workbookViewId="0">
      <selection activeCell="B8" sqref="B8"/>
    </sheetView>
  </sheetViews>
  <sheetFormatPr baseColWidth="10" defaultColWidth="11.42578125" defaultRowHeight="15" x14ac:dyDescent="0.25"/>
  <cols>
    <col min="1" max="1" width="4.7109375" customWidth="1"/>
    <col min="2" max="2" width="23.7109375" customWidth="1"/>
    <col min="3" max="3" width="32.7109375" customWidth="1"/>
    <col min="4" max="4" width="9.7109375" customWidth="1"/>
    <col min="5" max="7" width="13.7109375" customWidth="1"/>
    <col min="8" max="8" width="20.7109375" customWidth="1"/>
    <col min="9" max="9" width="17" customWidth="1"/>
    <col min="10" max="10" width="18.7109375" customWidth="1"/>
  </cols>
  <sheetData>
    <row r="6" spans="1:9" ht="30" customHeight="1" x14ac:dyDescent="0.25">
      <c r="A6" s="338" t="s">
        <v>40</v>
      </c>
      <c r="B6" s="339" t="s">
        <v>41</v>
      </c>
      <c r="C6" s="338" t="s">
        <v>491</v>
      </c>
      <c r="D6" s="338" t="s">
        <v>43</v>
      </c>
      <c r="E6" s="338" t="str">
        <f>"Status
1. Bewerbung"&amp;CHAR(10)&amp;Überblick!$F$14</f>
        <v>Status
1. Bewerbung
2025</v>
      </c>
      <c r="F6" s="338" t="str">
        <f>"Status
2. Bewerbung"&amp;CHAR(10)&amp;Überblick!$F$16</f>
        <v>Status
2. Bewerbung
2026</v>
      </c>
      <c r="G6" s="338" t="str">
        <f>"Status 
3. Bewerbung"&amp;CHAR(10)&amp;Überblick!$F$18</f>
        <v xml:space="preserve">Status 
3. Bewerbung
</v>
      </c>
      <c r="H6" s="338" t="s">
        <v>89</v>
      </c>
      <c r="I6" s="338" t="s">
        <v>45</v>
      </c>
    </row>
    <row r="7" spans="1:9" ht="30" customHeight="1" x14ac:dyDescent="0.25">
      <c r="A7" s="338"/>
      <c r="B7" s="340"/>
      <c r="C7" s="338"/>
      <c r="D7" s="338"/>
      <c r="E7" s="338"/>
      <c r="F7" s="338"/>
      <c r="G7" s="338"/>
      <c r="H7" s="338"/>
      <c r="I7" s="338"/>
    </row>
    <row r="8" spans="1:9" ht="50.1" customHeight="1" x14ac:dyDescent="0.25">
      <c r="A8" s="192" t="s">
        <v>492</v>
      </c>
      <c r="B8" s="141"/>
      <c r="C8" s="142"/>
      <c r="D8" s="142"/>
      <c r="E8" s="142"/>
      <c r="F8" s="142"/>
      <c r="G8" s="142"/>
      <c r="H8" s="142"/>
      <c r="I8" s="142"/>
    </row>
    <row r="9" spans="1:9" ht="50.1" customHeight="1" x14ac:dyDescent="0.25">
      <c r="A9" s="192" t="s">
        <v>493</v>
      </c>
      <c r="B9" s="145"/>
      <c r="C9" s="143"/>
      <c r="D9" s="143"/>
      <c r="E9" s="142"/>
      <c r="F9" s="142"/>
      <c r="G9" s="142"/>
      <c r="H9" s="143"/>
      <c r="I9" s="143"/>
    </row>
    <row r="10" spans="1:9" ht="50.1" customHeight="1" x14ac:dyDescent="0.25">
      <c r="A10" s="192" t="s">
        <v>494</v>
      </c>
      <c r="B10" s="145"/>
      <c r="C10" s="143"/>
      <c r="D10" s="143"/>
      <c r="E10" s="142"/>
      <c r="F10" s="142"/>
      <c r="G10" s="142"/>
      <c r="H10" s="143"/>
      <c r="I10" s="143"/>
    </row>
    <row r="11" spans="1:9" ht="50.1" customHeight="1" x14ac:dyDescent="0.25">
      <c r="A11" s="192" t="s">
        <v>495</v>
      </c>
      <c r="B11" s="145"/>
      <c r="C11" s="143"/>
      <c r="D11" s="143"/>
      <c r="E11" s="142"/>
      <c r="F11" s="142"/>
      <c r="G11" s="142"/>
      <c r="H11" s="143"/>
      <c r="I11" s="143"/>
    </row>
    <row r="12" spans="1:9" ht="50.1" customHeight="1" x14ac:dyDescent="0.25">
      <c r="A12" s="192" t="s">
        <v>496</v>
      </c>
      <c r="B12" s="145"/>
      <c r="C12" s="143"/>
      <c r="D12" s="143"/>
      <c r="E12" s="142"/>
      <c r="F12" s="142"/>
      <c r="G12" s="142"/>
      <c r="H12" s="143"/>
      <c r="I12" s="143"/>
    </row>
    <row r="13" spans="1:9" ht="24.75" customHeight="1" x14ac:dyDescent="0.25"/>
    <row r="14" spans="1:9" ht="57.75" customHeight="1" x14ac:dyDescent="0.25"/>
    <row r="15" spans="1:9" ht="36.75" customHeight="1" x14ac:dyDescent="0.25"/>
    <row r="16" spans="1:9" ht="30" customHeight="1" x14ac:dyDescent="0.25"/>
    <row r="17" ht="30" customHeight="1" x14ac:dyDescent="0.25"/>
    <row r="18" ht="30" customHeight="1" x14ac:dyDescent="0.25"/>
    <row r="19" ht="30" customHeight="1" x14ac:dyDescent="0.25"/>
    <row r="20" ht="30" customHeight="1" x14ac:dyDescent="0.25"/>
    <row r="21" ht="30" customHeight="1" x14ac:dyDescent="0.25"/>
    <row r="22" ht="30" customHeight="1" x14ac:dyDescent="0.25"/>
    <row r="23" ht="30" customHeight="1" x14ac:dyDescent="0.25"/>
    <row r="24" ht="30" customHeight="1" x14ac:dyDescent="0.25"/>
    <row r="25" ht="30" customHeight="1" x14ac:dyDescent="0.25"/>
    <row r="26" ht="30" customHeight="1" x14ac:dyDescent="0.25"/>
    <row r="39" spans="3:3" x14ac:dyDescent="0.25">
      <c r="C39" s="85"/>
    </row>
    <row r="40" spans="3:3" x14ac:dyDescent="0.25">
      <c r="C40" s="85"/>
    </row>
    <row r="41" spans="3:3" x14ac:dyDescent="0.25">
      <c r="C41" s="85"/>
    </row>
    <row r="42" spans="3:3" x14ac:dyDescent="0.25">
      <c r="C42" s="85"/>
    </row>
    <row r="43" spans="3:3" x14ac:dyDescent="0.25">
      <c r="C43" s="85"/>
    </row>
    <row r="44" spans="3:3" x14ac:dyDescent="0.25">
      <c r="C44" s="85"/>
    </row>
    <row r="45" spans="3:3" x14ac:dyDescent="0.25">
      <c r="C45" s="85"/>
    </row>
    <row r="46" spans="3:3" x14ac:dyDescent="0.25">
      <c r="C46" s="85"/>
    </row>
    <row r="47" spans="3:3" x14ac:dyDescent="0.25">
      <c r="C47" s="85"/>
    </row>
    <row r="48" spans="3:3" x14ac:dyDescent="0.25">
      <c r="C48" s="85"/>
    </row>
    <row r="49" spans="3:3" x14ac:dyDescent="0.25">
      <c r="C49" s="85"/>
    </row>
    <row r="50" spans="3:3" x14ac:dyDescent="0.25">
      <c r="C50" s="85"/>
    </row>
    <row r="51" spans="3:3" x14ac:dyDescent="0.25">
      <c r="C51" s="85"/>
    </row>
    <row r="52" spans="3:3" x14ac:dyDescent="0.25">
      <c r="C52" s="85"/>
    </row>
    <row r="53" spans="3:3" x14ac:dyDescent="0.25">
      <c r="C53" s="85"/>
    </row>
  </sheetData>
  <sheetProtection selectLockedCells="1"/>
  <mergeCells count="9">
    <mergeCell ref="G6:G7"/>
    <mergeCell ref="H6:H7"/>
    <mergeCell ref="I6:I7"/>
    <mergeCell ref="A6:A7"/>
    <mergeCell ref="B6:B7"/>
    <mergeCell ref="C6:C7"/>
    <mergeCell ref="D6:D7"/>
    <mergeCell ref="E6:E7"/>
    <mergeCell ref="F6:F7"/>
  </mergeCells>
  <phoneticPr fontId="2" type="noConversion"/>
  <conditionalFormatting sqref="E8:G12">
    <cfRule type="containsText" dxfId="24" priority="1" operator="containsText" text="Umsetzung nicht möglich">
      <formula>NOT(ISERROR(SEARCH("Umsetzung nicht möglich",E8)))</formula>
    </cfRule>
    <cfRule type="containsText" dxfId="23" priority="2" operator="containsText" text="bisher nicht umgesetzt">
      <formula>NOT(ISERROR(SEARCH("bisher nicht umgesetzt",E8)))</formula>
    </cfRule>
    <cfRule type="containsText" dxfId="22" priority="3" operator="containsText" text="zukünftiger Termin">
      <formula>NOT(ISERROR(SEARCH("zukünftiger Termin",E8)))</formula>
    </cfRule>
    <cfRule type="containsText" dxfId="21" priority="4" operator="containsText" text="In Umsetzung (Ende)">
      <formula>NOT(ISERROR(SEARCH("In Umsetzung (Ende)",E8)))</formula>
    </cfRule>
    <cfRule type="containsText" dxfId="20" priority="5" operator="containsText" text="In Umsetzung (Mitte)">
      <formula>NOT(ISERROR(SEARCH("In Umsetzung (Mitte)",E8)))</formula>
    </cfRule>
    <cfRule type="containsText" dxfId="19" priority="6" operator="containsText" text="In Umsetzung (Anfang)">
      <formula>NOT(ISERROR(SEARCH("In Umsetzung (Anfang)",E8)))</formula>
    </cfRule>
    <cfRule type="containsText" dxfId="18" priority="7" operator="containsText" text="umgesetzt">
      <formula>NOT(ISERROR(SEARCH("umgesetzt",E8)))</formula>
    </cfRule>
  </conditionalFormatting>
  <conditionalFormatting sqref="E10:G10">
    <cfRule type="containsText" dxfId="17" priority="8" operator="containsText" text="Umsetzung nicht möglich">
      <formula>NOT(ISERROR(SEARCH("Umsetzung nicht möglich",E10)))</formula>
    </cfRule>
  </conditionalFormatting>
  <pageMargins left="0.7" right="0.7" top="0.78740157499999996" bottom="0.78740157499999996" header="0.3" footer="0.3"/>
  <pageSetup paperSize="9" orientation="landscape" horizontalDpi="0"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364397-E67B-4171-8635-DC85F4844588}">
          <x14:formula1>
            <xm:f>Status!$E$3:$E$8</xm:f>
          </x14:formula1>
          <xm:sqref>I8:I12</xm:sqref>
        </x14:dataValidation>
        <x14:dataValidation type="list" allowBlank="1" showInputMessage="1" showErrorMessage="1" xr:uid="{6A52343B-5B31-4F5A-ACD5-7A10D4E525F2}">
          <x14:formula1>
            <xm:f>Status!$A$2:$A$10</xm:f>
          </x14:formula1>
          <xm:sqref>E8:G12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B8F3-9604-4E54-A934-4BC2E2322DF0}">
  <sheetPr codeName="Tabelle21">
    <tabColor rgb="FF3A91CF"/>
  </sheetPr>
  <dimension ref="A17:M29"/>
  <sheetViews>
    <sheetView showGridLines="0" topLeftCell="A17" zoomScale="63" zoomScaleNormal="85" workbookViewId="0">
      <selection activeCell="F21" sqref="F21"/>
    </sheetView>
  </sheetViews>
  <sheetFormatPr baseColWidth="10" defaultColWidth="11.42578125" defaultRowHeight="15" x14ac:dyDescent="0.25"/>
  <cols>
    <col min="1" max="1" width="5.85546875" customWidth="1"/>
    <col min="2" max="2" width="20.42578125" customWidth="1"/>
    <col min="3" max="3" width="33.42578125" customWidth="1"/>
    <col min="4" max="4" width="11.5703125" bestFit="1" customWidth="1"/>
    <col min="5" max="6" width="11.7109375" customWidth="1"/>
    <col min="7" max="8" width="16" customWidth="1"/>
    <col min="9" max="9" width="17.140625" bestFit="1" customWidth="1"/>
  </cols>
  <sheetData>
    <row r="17" spans="1:13" ht="30" customHeight="1" x14ac:dyDescent="0.25">
      <c r="A17" s="345" t="s">
        <v>40</v>
      </c>
      <c r="B17" s="343" t="s">
        <v>41</v>
      </c>
      <c r="C17" s="343" t="s">
        <v>88</v>
      </c>
      <c r="D17" s="343" t="str">
        <f>"Status
1. Bewerbung"&amp;CHAR(10)&amp;Überblick!$F$14</f>
        <v>Status
1. Bewerbung
2025</v>
      </c>
      <c r="E17" s="343" t="str">
        <f>"Status
2. Bewerbung"&amp;CHAR(10)&amp;Überblick!$F$16</f>
        <v>Status
2. Bewerbung
2026</v>
      </c>
      <c r="F17" s="343" t="str">
        <f>"Status 
3. Bewerbung"&amp;CHAR(10)&amp;Überblick!$F$18</f>
        <v xml:space="preserve">Status 
3. Bewerbung
</v>
      </c>
      <c r="G17" s="343" t="s">
        <v>44</v>
      </c>
      <c r="H17" s="343" t="s">
        <v>497</v>
      </c>
      <c r="I17" s="341" t="s">
        <v>498</v>
      </c>
    </row>
    <row r="18" spans="1:13" ht="30" customHeight="1" x14ac:dyDescent="0.25">
      <c r="A18" s="346"/>
      <c r="B18" s="344"/>
      <c r="C18" s="344"/>
      <c r="D18" s="344"/>
      <c r="E18" s="344"/>
      <c r="F18" s="344"/>
      <c r="G18" s="344"/>
      <c r="H18" s="344"/>
      <c r="I18" s="342"/>
    </row>
    <row r="19" spans="1:13" ht="63.75" customHeight="1" x14ac:dyDescent="0.25">
      <c r="A19" s="204" t="s">
        <v>499</v>
      </c>
      <c r="B19" s="215"/>
      <c r="C19" s="216"/>
      <c r="D19" s="218"/>
      <c r="E19" s="218"/>
      <c r="F19" s="216"/>
      <c r="G19" s="216"/>
      <c r="H19" s="157"/>
      <c r="I19" s="152"/>
    </row>
    <row r="20" spans="1:13" ht="42.75" customHeight="1" x14ac:dyDescent="0.25">
      <c r="A20" s="223" t="s">
        <v>500</v>
      </c>
      <c r="B20" s="225"/>
      <c r="C20" s="225"/>
      <c r="D20" s="225"/>
      <c r="E20" s="225"/>
      <c r="F20" s="225"/>
      <c r="G20" s="225"/>
      <c r="H20" s="224"/>
      <c r="I20" s="152"/>
    </row>
    <row r="21" spans="1:13" ht="32.1" customHeight="1" x14ac:dyDescent="0.25">
      <c r="A21" s="204" t="s">
        <v>501</v>
      </c>
      <c r="B21" s="141"/>
      <c r="C21" s="142"/>
      <c r="D21" s="142"/>
      <c r="E21" s="142"/>
      <c r="F21" s="142"/>
      <c r="G21" s="142"/>
      <c r="H21" s="157"/>
      <c r="I21" s="152"/>
    </row>
    <row r="22" spans="1:13" ht="32.1" customHeight="1" x14ac:dyDescent="0.25">
      <c r="A22" s="204" t="s">
        <v>502</v>
      </c>
      <c r="B22" s="145"/>
      <c r="C22" s="143"/>
      <c r="D22" s="142"/>
      <c r="E22" s="142"/>
      <c r="F22" s="142"/>
      <c r="G22" s="143"/>
      <c r="H22" s="157"/>
      <c r="I22" s="152"/>
    </row>
    <row r="23" spans="1:13" ht="32.1" customHeight="1" x14ac:dyDescent="0.25">
      <c r="A23" s="205" t="s">
        <v>503</v>
      </c>
      <c r="B23" s="145"/>
      <c r="C23" s="143"/>
      <c r="D23" s="142"/>
      <c r="E23" s="142"/>
      <c r="F23" s="142"/>
      <c r="G23" s="143"/>
      <c r="H23" s="157"/>
      <c r="I23" s="152"/>
    </row>
    <row r="24" spans="1:13" ht="32.1" customHeight="1" x14ac:dyDescent="0.25">
      <c r="A24" s="205" t="s">
        <v>504</v>
      </c>
      <c r="B24" s="145"/>
      <c r="C24" s="143"/>
      <c r="D24" s="142"/>
      <c r="E24" s="142"/>
      <c r="F24" s="142"/>
      <c r="G24" s="143"/>
      <c r="H24" s="157"/>
      <c r="I24" s="152"/>
    </row>
    <row r="25" spans="1:13" ht="32.1" customHeight="1" x14ac:dyDescent="0.25">
      <c r="A25" s="205" t="s">
        <v>505</v>
      </c>
      <c r="B25" s="145"/>
      <c r="C25" s="143"/>
      <c r="D25" s="142"/>
      <c r="E25" s="142"/>
      <c r="F25" s="142"/>
      <c r="G25" s="143"/>
      <c r="H25" s="157"/>
      <c r="I25" s="152"/>
      <c r="M25" s="100"/>
    </row>
    <row r="26" spans="1:13" ht="32.1" customHeight="1" x14ac:dyDescent="0.25">
      <c r="A26" s="205" t="s">
        <v>506</v>
      </c>
      <c r="B26" s="145"/>
      <c r="C26" s="143"/>
      <c r="D26" s="142"/>
      <c r="E26" s="142"/>
      <c r="F26" s="142"/>
      <c r="G26" s="143"/>
      <c r="H26" s="157"/>
      <c r="I26" s="152"/>
    </row>
    <row r="27" spans="1:13" ht="32.1" customHeight="1" x14ac:dyDescent="0.25">
      <c r="A27" s="205" t="s">
        <v>507</v>
      </c>
      <c r="B27" s="145"/>
      <c r="C27" s="143"/>
      <c r="D27" s="142"/>
      <c r="E27" s="142"/>
      <c r="F27" s="142"/>
      <c r="G27" s="143"/>
      <c r="H27" s="157"/>
      <c r="I27" s="152"/>
    </row>
    <row r="28" spans="1:13" ht="32.1" customHeight="1" x14ac:dyDescent="0.25">
      <c r="A28" s="206" t="s">
        <v>508</v>
      </c>
      <c r="B28" s="145"/>
      <c r="C28" s="143"/>
      <c r="D28" s="142"/>
      <c r="E28" s="142"/>
      <c r="F28" s="142"/>
      <c r="G28" s="143"/>
      <c r="H28" s="157"/>
      <c r="I28" s="152"/>
    </row>
    <row r="29" spans="1:13" ht="15" customHeight="1" x14ac:dyDescent="0.25">
      <c r="A29" s="147"/>
      <c r="B29" s="148"/>
      <c r="C29" s="149"/>
      <c r="D29" s="149"/>
      <c r="E29" s="149"/>
      <c r="F29" s="149"/>
      <c r="G29" s="149"/>
      <c r="H29" s="158">
        <f>SUM(H19:H28)</f>
        <v>0</v>
      </c>
      <c r="I29" s="151"/>
    </row>
  </sheetData>
  <sheetProtection selectLockedCells="1"/>
  <mergeCells count="9">
    <mergeCell ref="I17:I18"/>
    <mergeCell ref="F17:F18"/>
    <mergeCell ref="G17:G18"/>
    <mergeCell ref="E17:E18"/>
    <mergeCell ref="A17:A18"/>
    <mergeCell ref="B17:B18"/>
    <mergeCell ref="C17:C18"/>
    <mergeCell ref="D17:D18"/>
    <mergeCell ref="H17:H18"/>
  </mergeCells>
  <conditionalFormatting sqref="D19:E19">
    <cfRule type="containsText" dxfId="16" priority="1" operator="containsText" text="Umsetzung nicht möglich">
      <formula>NOT(ISERROR(SEARCH("Umsetzung nicht möglich",D19)))</formula>
    </cfRule>
    <cfRule type="containsText" dxfId="15" priority="2" operator="containsText" text="bisher nicht umgesetzt">
      <formula>NOT(ISERROR(SEARCH("bisher nicht umgesetzt",D19)))</formula>
    </cfRule>
    <cfRule type="containsText" dxfId="14" priority="3" operator="containsText" text="zukünftiger Termin">
      <formula>NOT(ISERROR(SEARCH("zukünftiger Termin",D19)))</formula>
    </cfRule>
    <cfRule type="containsText" dxfId="13" priority="4" operator="containsText" text="In Umsetzung (Ende)">
      <formula>NOT(ISERROR(SEARCH("In Umsetzung (Ende)",D19)))</formula>
    </cfRule>
    <cfRule type="containsText" dxfId="12" priority="5" operator="containsText" text="In Umsetzung (Mitte)">
      <formula>NOT(ISERROR(SEARCH("In Umsetzung (Mitte)",D19)))</formula>
    </cfRule>
    <cfRule type="containsText" dxfId="11" priority="6" operator="containsText" text="In Umsetzung (Anfang)">
      <formula>NOT(ISERROR(SEARCH("In Umsetzung (Anfang)",D19)))</formula>
    </cfRule>
    <cfRule type="containsText" dxfId="10" priority="7" operator="containsText" text="umgesetzt">
      <formula>NOT(ISERROR(SEARCH("umgesetzt",D19)))</formula>
    </cfRule>
  </conditionalFormatting>
  <conditionalFormatting sqref="D21:F21">
    <cfRule type="containsText" dxfId="9" priority="15" operator="containsText" text="Umsetzung nicht möglich">
      <formula>NOT(ISERROR(SEARCH("Umsetzung nicht möglich",D21)))</formula>
    </cfRule>
  </conditionalFormatting>
  <conditionalFormatting sqref="D21:F28">
    <cfRule type="containsText" dxfId="8" priority="8" operator="containsText" text="Umsetzung nicht möglich">
      <formula>NOT(ISERROR(SEARCH("Umsetzung nicht möglich",D21)))</formula>
    </cfRule>
    <cfRule type="containsText" dxfId="7" priority="9" operator="containsText" text="bisher nicht umgesetzt">
      <formula>NOT(ISERROR(SEARCH("bisher nicht umgesetzt",D21)))</formula>
    </cfRule>
    <cfRule type="containsText" dxfId="6" priority="10" operator="containsText" text="zukünftiger Termin">
      <formula>NOT(ISERROR(SEARCH("zukünftiger Termin",D21)))</formula>
    </cfRule>
    <cfRule type="containsText" dxfId="5" priority="11" operator="containsText" text="In Umsetzung (Ende)">
      <formula>NOT(ISERROR(SEARCH("In Umsetzung (Ende)",D21)))</formula>
    </cfRule>
    <cfRule type="containsText" dxfId="4" priority="12" operator="containsText" text="In Umsetzung (Mitte)">
      <formula>NOT(ISERROR(SEARCH("In Umsetzung (Mitte)",D21)))</formula>
    </cfRule>
    <cfRule type="containsText" dxfId="3" priority="13" operator="containsText" text="In Umsetzung (Anfang)">
      <formula>NOT(ISERROR(SEARCH("In Umsetzung (Anfang)",D21)))</formula>
    </cfRule>
    <cfRule type="containsText" dxfId="2" priority="14" operator="containsText" text="umgesetzt">
      <formula>NOT(ISERROR(SEARCH("umgesetzt",D21)))</formula>
    </cfRule>
  </conditionalFormatting>
  <pageMargins left="0.7" right="0.7" top="0.78740157499999996" bottom="0.78740157499999996"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6C9F018-BFD9-44F7-A342-09A5702542ED}">
          <x14:formula1>
            <xm:f>Status!$A$2:$A$10</xm:f>
          </x14:formula1>
          <xm:sqref>D21:F28 D19:E19</xm:sqref>
        </x14:dataValidation>
        <x14:dataValidation type="list" allowBlank="1" showInputMessage="1" showErrorMessage="1" xr:uid="{315E30DE-4B3F-4095-BCC7-3CFA4AA85E3C}">
          <x14:formula1>
            <xm:f>Status!$H$3:$H$27</xm:f>
          </x14:formula1>
          <xm:sqref>I19:I28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ADA1-934F-446B-995D-8EEE8645EAAF}">
  <sheetPr codeName="Tabelle17"/>
  <dimension ref="B2:T27"/>
  <sheetViews>
    <sheetView showGridLines="0" topLeftCell="A23" zoomScale="67" zoomScaleNormal="67" workbookViewId="0">
      <selection activeCell="K98" sqref="K98"/>
    </sheetView>
  </sheetViews>
  <sheetFormatPr baseColWidth="10" defaultColWidth="11.42578125" defaultRowHeight="15" x14ac:dyDescent="0.25"/>
  <cols>
    <col min="1" max="1" width="5.140625" style="103" customWidth="1"/>
    <col min="2" max="2" width="29" style="103" customWidth="1"/>
    <col min="3" max="3" width="40.28515625" style="103" customWidth="1"/>
    <col min="4" max="14" width="9.7109375" style="103" customWidth="1"/>
    <col min="15" max="18" width="11.42578125" style="103"/>
    <col min="19" max="19" width="42.28515625" style="103" customWidth="1"/>
    <col min="20" max="16384" width="11.42578125" style="103"/>
  </cols>
  <sheetData>
    <row r="2" spans="2:14" ht="39.75" x14ac:dyDescent="0.7">
      <c r="B2" s="138" t="s">
        <v>509</v>
      </c>
    </row>
    <row r="3" spans="2:14" ht="34.5" customHeight="1" x14ac:dyDescent="0.25"/>
    <row r="4" spans="2:14" ht="40.5" customHeight="1" x14ac:dyDescent="0.25">
      <c r="B4" s="347"/>
      <c r="C4" s="347"/>
      <c r="D4" s="347"/>
      <c r="E4" s="347"/>
      <c r="F4" s="347"/>
      <c r="G4" s="347"/>
      <c r="H4" s="347"/>
      <c r="I4" s="347"/>
      <c r="J4" s="347"/>
    </row>
    <row r="5" spans="2:14" ht="37.5" customHeight="1" x14ac:dyDescent="0.25">
      <c r="B5" s="134"/>
      <c r="C5" s="134"/>
      <c r="D5" s="134"/>
      <c r="E5" s="134"/>
      <c r="F5" s="134"/>
      <c r="G5" s="134"/>
      <c r="H5" s="134"/>
      <c r="I5" s="134"/>
      <c r="J5" s="134"/>
    </row>
    <row r="6" spans="2:14" ht="28.5" x14ac:dyDescent="0.45">
      <c r="B6" s="133" t="s">
        <v>510</v>
      </c>
    </row>
    <row r="7" spans="2:14" ht="33.75" customHeight="1" x14ac:dyDescent="0.25">
      <c r="B7" s="101" t="s">
        <v>511</v>
      </c>
      <c r="D7" s="349">
        <v>2024</v>
      </c>
      <c r="E7" s="350"/>
    </row>
    <row r="8" spans="2:14" ht="13.5" customHeight="1" x14ac:dyDescent="0.25"/>
    <row r="9" spans="2:14" ht="45" customHeight="1" x14ac:dyDescent="0.25">
      <c r="B9" s="351" t="s">
        <v>512</v>
      </c>
      <c r="C9" s="352"/>
      <c r="D9" s="353">
        <v>415.4</v>
      </c>
      <c r="E9" s="354"/>
    </row>
    <row r="13" spans="2:14" ht="28.5" x14ac:dyDescent="0.45">
      <c r="B13" s="133" t="s">
        <v>513</v>
      </c>
    </row>
    <row r="14" spans="2:14" ht="23.25" customHeight="1" x14ac:dyDescent="0.25"/>
    <row r="16" spans="2:14" ht="60" customHeight="1" x14ac:dyDescent="0.25">
      <c r="C16" s="356" t="str">
        <f>"Geplante Treibhausgaseinsparung laut Klimaschutzplan im Jahr "&amp;D7+10&amp;" gegenüber der ersten Treibhausgasbilanz "&amp;D7&amp;"."</f>
        <v>Geplante Treibhausgaseinsparung laut Klimaschutzplan im Jahr 2034 gegenüber der ersten Treibhausgasbilanz 2024.</v>
      </c>
      <c r="D16" s="357"/>
      <c r="E16" s="358">
        <f>(Abfall!J15+Ernährung!J16+Einkauf!J14+Kohlenstoffbindung!J13+Kommunikation!J22+Mobilität!J17+Strom!J16+Wärme!J15)/1000</f>
        <v>10.512</v>
      </c>
      <c r="F16" s="359"/>
      <c r="G16" s="184"/>
      <c r="H16" s="184"/>
      <c r="I16" s="129"/>
      <c r="J16" s="356" t="s">
        <v>514</v>
      </c>
      <c r="K16" s="357"/>
      <c r="L16" s="357"/>
      <c r="M16" s="362">
        <f>E16/D9</f>
        <v>2.5305729417428986E-2</v>
      </c>
      <c r="N16" s="363"/>
    </row>
    <row r="17" spans="2:20" ht="40.5" customHeight="1" x14ac:dyDescent="0.25">
      <c r="C17" s="127"/>
      <c r="D17" s="127"/>
      <c r="E17" s="128"/>
      <c r="F17" s="129"/>
      <c r="G17" s="130"/>
      <c r="H17" s="130"/>
      <c r="I17" s="130"/>
      <c r="J17" s="131"/>
    </row>
    <row r="18" spans="2:20" ht="52.15" customHeight="1" x14ac:dyDescent="0.25">
      <c r="C18" s="356" t="str">
        <f>"Durchschnittlich geplante Kompensationsmenge pro Jahr laut Klimaschutzplan bis "&amp;D7+10 &amp;":"</f>
        <v>Durchschnittlich geplante Kompensationsmenge pro Jahr laut Klimaschutzplan bis 2034:</v>
      </c>
      <c r="D18" s="357"/>
      <c r="E18" s="360">
        <f>Kompensation!H29/11</f>
        <v>0</v>
      </c>
      <c r="F18" s="361"/>
      <c r="G18" s="355"/>
      <c r="H18" s="355"/>
      <c r="I18" s="355"/>
      <c r="J18" s="129"/>
    </row>
    <row r="19" spans="2:20" ht="63" customHeight="1" x14ac:dyDescent="0.25"/>
    <row r="20" spans="2:20" ht="23.25" customHeight="1" x14ac:dyDescent="0.45">
      <c r="B20" s="133" t="s">
        <v>515</v>
      </c>
    </row>
    <row r="21" spans="2:20" ht="24.75" customHeight="1" x14ac:dyDescent="0.25">
      <c r="B21" s="102"/>
      <c r="F21" s="45"/>
    </row>
    <row r="22" spans="2:20" ht="32.25" customHeight="1" x14ac:dyDescent="0.25">
      <c r="C22" s="123"/>
      <c r="D22" s="126">
        <f>D7</f>
        <v>2024</v>
      </c>
      <c r="E22" s="126">
        <f>D7+1</f>
        <v>2025</v>
      </c>
      <c r="F22" s="126">
        <f>E22+1</f>
        <v>2026</v>
      </c>
      <c r="G22" s="126">
        <f t="shared" ref="G22:N22" si="0">F22+1</f>
        <v>2027</v>
      </c>
      <c r="H22" s="126">
        <f t="shared" si="0"/>
        <v>2028</v>
      </c>
      <c r="I22" s="126">
        <f t="shared" si="0"/>
        <v>2029</v>
      </c>
      <c r="J22" s="126">
        <f t="shared" si="0"/>
        <v>2030</v>
      </c>
      <c r="K22" s="126">
        <f t="shared" si="0"/>
        <v>2031</v>
      </c>
      <c r="L22" s="126">
        <f t="shared" si="0"/>
        <v>2032</v>
      </c>
      <c r="M22" s="126">
        <f t="shared" si="0"/>
        <v>2033</v>
      </c>
      <c r="N22" s="126">
        <f t="shared" si="0"/>
        <v>2034</v>
      </c>
    </row>
    <row r="23" spans="2:20" ht="50.1" customHeight="1" x14ac:dyDescent="0.25">
      <c r="B23" s="115"/>
      <c r="C23" s="165" t="s">
        <v>516</v>
      </c>
      <c r="D23" s="167">
        <f>$D$9</f>
        <v>415.4</v>
      </c>
      <c r="E23" s="167">
        <f>$D$9-(0.1*$E$16)</f>
        <v>414.34879999999998</v>
      </c>
      <c r="F23" s="167">
        <f>$D$9-(0.2*$E$16)</f>
        <v>413.29759999999999</v>
      </c>
      <c r="G23" s="167">
        <f>$D$9-(0.3*$E$16)</f>
        <v>412.24639999999999</v>
      </c>
      <c r="H23" s="167">
        <f>$D$9-(0.4*$E$16)</f>
        <v>411.1952</v>
      </c>
      <c r="I23" s="167">
        <f>$D$9-(0.5*$E$16)</f>
        <v>410.14400000000001</v>
      </c>
      <c r="J23" s="167">
        <f>$D$9-(0.6*$E$16)</f>
        <v>409.09279999999995</v>
      </c>
      <c r="K23" s="167">
        <f>$D$9-(0.7*$E$16)</f>
        <v>408.04159999999996</v>
      </c>
      <c r="L23" s="167">
        <f>$D$9-(0.8*$E$16)</f>
        <v>406.99039999999997</v>
      </c>
      <c r="M23" s="167">
        <f>$D$9-(0.9*$E$16)</f>
        <v>405.93919999999997</v>
      </c>
      <c r="N23" s="167">
        <f>$D$9-$E$16</f>
        <v>404.88799999999998</v>
      </c>
      <c r="P23" s="348" t="s">
        <v>517</v>
      </c>
      <c r="Q23" s="348"/>
      <c r="R23" s="348"/>
      <c r="S23" s="132" t="s">
        <v>34</v>
      </c>
      <c r="T23" s="132"/>
    </row>
    <row r="24" spans="2:20" ht="50.1" customHeight="1" x14ac:dyDescent="0.25">
      <c r="B24" s="115"/>
      <c r="C24" s="166" t="s">
        <v>518</v>
      </c>
      <c r="D24" s="207">
        <v>415</v>
      </c>
      <c r="E24" s="207"/>
      <c r="F24" s="207"/>
      <c r="G24" s="207"/>
      <c r="H24" s="207"/>
      <c r="I24" s="207"/>
      <c r="J24" s="207"/>
      <c r="K24" s="207"/>
      <c r="L24" s="207"/>
      <c r="M24" s="207"/>
      <c r="N24" s="207"/>
      <c r="P24" s="348" t="s">
        <v>519</v>
      </c>
      <c r="Q24" s="348"/>
      <c r="R24" s="121"/>
      <c r="S24" s="132" t="s">
        <v>30</v>
      </c>
      <c r="T24" s="132"/>
    </row>
    <row r="25" spans="2:20" ht="50.1" customHeight="1" x14ac:dyDescent="0.25">
      <c r="B25" s="115"/>
      <c r="C25" s="166" t="s">
        <v>520</v>
      </c>
      <c r="D25" s="167">
        <f>$D$23-IF(Kompensation!$I$19='CO2-Reduktionspfad'!$D$7,Kompensation!$H$19,0)-IF(Kompensation!$I$20='CO2-Reduktionspfad'!$D$7,Kompensation!$H$20,0)-IF(Kompensation!$I$21='CO2-Reduktionspfad'!$D$7,Kompensation!$H$21,0)-IF(Kompensation!$I$22='CO2-Reduktionspfad'!$D$7,Kompensation!$H$22,0)-IF(Kompensation!$I$23='CO2-Reduktionspfad'!$D$7,Kompensation!$H$23,0)-IF(Kompensation!$I$24='CO2-Reduktionspfad'!$D$7,Kompensation!$H$24,0)-IF(Kompensation!$I$25='CO2-Reduktionspfad'!$D$7,Kompensation!$H$25,0)-IF(Kompensation!$I$26='CO2-Reduktionspfad'!$D$7,Kompensation!$H$26,0)-IF(Kompensation!$I$27='CO2-Reduktionspfad'!$D$7,Kompensation!$H$27,0)-IF(Kompensation!$I$28='CO2-Reduktionspfad'!$D$7,Kompensation!$H$28,0)</f>
        <v>415.4</v>
      </c>
      <c r="E25" s="167">
        <f>$E$23-IF(Kompensation!$I$19='CO2-Reduktionspfad'!$D$7+1,Kompensation!$H$19,0)-IF(Kompensation!$I$20='CO2-Reduktionspfad'!$D$7+1,Kompensation!$H$20,0)-IF(Kompensation!$I$21='CO2-Reduktionspfad'!$D$7+1,Kompensation!$H$21,0)-IF(Kompensation!$I$22='CO2-Reduktionspfad'!$D$7+1,Kompensation!$H$22,0)-IF(Kompensation!$I$23='CO2-Reduktionspfad'!$D$7+1,Kompensation!$H$23,0)-IF(Kompensation!$I$24='CO2-Reduktionspfad'!$D$7+1,Kompensation!$H$24,0)-IF(Kompensation!$I$25='CO2-Reduktionspfad'!$D$7+1,Kompensation!$H$25,0)-IF(Kompensation!$I$26='CO2-Reduktionspfad'!$D$7+1,Kompensation!$H$26,0)-IF(Kompensation!$I$27='CO2-Reduktionspfad'!$D$7+1,Kompensation!$H$27,0)-IF(Kompensation!$I$28='CO2-Reduktionspfad'!$D$7+1,Kompensation!$H$28,0)</f>
        <v>414.34879999999998</v>
      </c>
      <c r="F25" s="167">
        <f>$F$23-IF(Kompensation!$I$19='CO2-Reduktionspfad'!$D$7+2,Kompensation!$H$19,0)-IF(Kompensation!$I$20='CO2-Reduktionspfad'!$D$7+2,Kompensation!$H$20,0)-IF(Kompensation!$I$21='CO2-Reduktionspfad'!$D$7+2,Kompensation!$H$21,0)-IF(Kompensation!$I$22='CO2-Reduktionspfad'!$D$7+2,Kompensation!$H$22,0)-IF(Kompensation!$I$23='CO2-Reduktionspfad'!$D$7+2,Kompensation!$H$23,0)-IF(Kompensation!$I$24='CO2-Reduktionspfad'!$D$7+2,Kompensation!$H$24,0)-IF(Kompensation!$I$25='CO2-Reduktionspfad'!$D$7+2,Kompensation!$H$25,0)-IF(Kompensation!$I$26='CO2-Reduktionspfad'!$D$7+2,Kompensation!$H$26,0)-IF(Kompensation!$I$27='CO2-Reduktionspfad'!$D$7+2,Kompensation!$H$27,0)-IF(Kompensation!$I$28='CO2-Reduktionspfad'!$D$7+2,Kompensation!$H$28,0)</f>
        <v>413.29759999999999</v>
      </c>
      <c r="G25" s="167">
        <f>$G$23-IF(Kompensation!$I$19='CO2-Reduktionspfad'!$D$7+3,Kompensation!$H$19,0)-IF(Kompensation!$I$20='CO2-Reduktionspfad'!$D$7+3,Kompensation!$H$20,0)-IF(Kompensation!$I$21='CO2-Reduktionspfad'!$D$7+3,Kompensation!$H$21,0)-IF(Kompensation!$I$22='CO2-Reduktionspfad'!$D$7+3,Kompensation!$H$22,0)-IF(Kompensation!$I$23='CO2-Reduktionspfad'!$D$7+3,Kompensation!$H$23,0)-IF(Kompensation!$I$24='CO2-Reduktionspfad'!$D$7+3,Kompensation!$H$24,0)-IF(Kompensation!$I$25='CO2-Reduktionspfad'!$D$7+3,Kompensation!$H$25,0)-IF(Kompensation!$I$26='CO2-Reduktionspfad'!$D$7+3,Kompensation!$H$26,0)-IF(Kompensation!$I$27='CO2-Reduktionspfad'!$D$7+3,Kompensation!$H$27,0)-IF(Kompensation!$I$28='CO2-Reduktionspfad'!$D$7+3,Kompensation!$H$28,0)</f>
        <v>412.24639999999999</v>
      </c>
      <c r="H25" s="167">
        <f>$H$23-IF(Kompensation!$I$19='CO2-Reduktionspfad'!$D$7+4,Kompensation!$H$19,0)-IF(Kompensation!$I$20='CO2-Reduktionspfad'!$D$7+4,Kompensation!$H$20,0)-IF(Kompensation!$I$21='CO2-Reduktionspfad'!$D$7+4,Kompensation!$H$21,0)-IF(Kompensation!$I$22='CO2-Reduktionspfad'!$D$7+4,Kompensation!$H$22,0)-IF(Kompensation!$I$23='CO2-Reduktionspfad'!$D$7+4,Kompensation!$H$23,0)-IF(Kompensation!$I$24='CO2-Reduktionspfad'!$D$7+4,Kompensation!$H$24,0)-IF(Kompensation!$I$25='CO2-Reduktionspfad'!$D$7+4,Kompensation!$H$25,0)-IF(Kompensation!$I$26='CO2-Reduktionspfad'!$D$7+4,Kompensation!$H$26,0)-IF(Kompensation!$I$27='CO2-Reduktionspfad'!$D$7+4,Kompensation!$H$27,0)-IF(Kompensation!$I$28='CO2-Reduktionspfad'!$D$7+4,Kompensation!$H$28,0)</f>
        <v>411.1952</v>
      </c>
      <c r="I25" s="167">
        <f>$I$23-IF(Kompensation!$I$19='CO2-Reduktionspfad'!$D$7+5,Kompensation!$H$19,0)-IF(Kompensation!$I$20='CO2-Reduktionspfad'!$D$7+5,Kompensation!$H$20,0)-IF(Kompensation!$I$21='CO2-Reduktionspfad'!$D$7+5,Kompensation!$H$21,0)-IF(Kompensation!$I$22='CO2-Reduktionspfad'!$D$7+5,Kompensation!$H$22,0)-IF(Kompensation!$I$23='CO2-Reduktionspfad'!$D$7+5,Kompensation!$H$23,0)-IF(Kompensation!$I$24='CO2-Reduktionspfad'!$D$7+5,Kompensation!$H$24,0)-IF(Kompensation!$I$25='CO2-Reduktionspfad'!$D$7+5,Kompensation!$H$25,0)-IF(Kompensation!$I$26='CO2-Reduktionspfad'!$D$7+5,Kompensation!$H$26,0)-IF(Kompensation!$I$27='CO2-Reduktionspfad'!$D$7+5,Kompensation!$H$27,0)-IF(Kompensation!$I$28='CO2-Reduktionspfad'!$D$7+5,Kompensation!$H$28,0)</f>
        <v>410.14400000000001</v>
      </c>
      <c r="J25" s="167">
        <f>$J$23-IF(Kompensation!$I$19='CO2-Reduktionspfad'!$D$7+6,Kompensation!$H$19,0)-IF(Kompensation!$I$20='CO2-Reduktionspfad'!$D$7+6,Kompensation!$H$20,0)-IF(Kompensation!$I$21='CO2-Reduktionspfad'!$D$7+6,Kompensation!$H$21,0)-IF(Kompensation!$I$22='CO2-Reduktionspfad'!$D$7+6,Kompensation!$H$22,0)-IF(Kompensation!$I$23='CO2-Reduktionspfad'!$D$7+6,Kompensation!$H$23,0)-IF(Kompensation!$I$24='CO2-Reduktionspfad'!$D$7+6,Kompensation!$H$24,0)-IF(Kompensation!$I$25='CO2-Reduktionspfad'!$D$7+6,Kompensation!$H$25,0)-IF(Kompensation!$I$26='CO2-Reduktionspfad'!$D$7+6,Kompensation!$H$26,0)-IF(Kompensation!$I$27='CO2-Reduktionspfad'!$D$7+6,Kompensation!$H$27,0)-IF(Kompensation!$I$28='CO2-Reduktionspfad'!$D$7+6,Kompensation!$H$28,0)</f>
        <v>409.09279999999995</v>
      </c>
      <c r="K25" s="167">
        <f>$K$23-IF(Kompensation!$I$19='CO2-Reduktionspfad'!$D$7+7,Kompensation!$H$19,0)-IF(Kompensation!$I$20='CO2-Reduktionspfad'!$D$7+7,Kompensation!$H$20,0)-IF(Kompensation!$I$21='CO2-Reduktionspfad'!$D$7+7,Kompensation!$H$21,0)-IF(Kompensation!$I$22='CO2-Reduktionspfad'!$D$7+7,Kompensation!$H$22,0)-IF(Kompensation!$I$23='CO2-Reduktionspfad'!$D$7+7,Kompensation!$H$23,0)-IF(Kompensation!$I$24='CO2-Reduktionspfad'!$D$7+7,Kompensation!$H$24,0)-IF(Kompensation!$I$25='CO2-Reduktionspfad'!$D$7+7,Kompensation!$H$25,0)-IF(Kompensation!$I$26='CO2-Reduktionspfad'!$D$7+7,Kompensation!$H$26,0)-IF(Kompensation!$I$27='CO2-Reduktionspfad'!$D$7+7,Kompensation!$H$27,0)-IF(Kompensation!$I$28='CO2-Reduktionspfad'!$D$7+7,Kompensation!$H$28,0)</f>
        <v>408.04159999999996</v>
      </c>
      <c r="L25" s="167">
        <f>$L$23-IF(Kompensation!$I$19='CO2-Reduktionspfad'!$D$7+8,Kompensation!$H$19,0)-IF(Kompensation!$I$20='CO2-Reduktionspfad'!$D$7+8,Kompensation!$H$20,0)-IF(Kompensation!$I$21='CO2-Reduktionspfad'!$D$7+8,Kompensation!$H$21,0)-IF(Kompensation!$I$22='CO2-Reduktionspfad'!$D$7+8,Kompensation!$H$22,0)-IF(Kompensation!$I$23='CO2-Reduktionspfad'!$D$7+8,Kompensation!$H$23,0)-IF(Kompensation!$I$24='CO2-Reduktionspfad'!$D$7+8,Kompensation!$H$24,0)-IF(Kompensation!$I$25='CO2-Reduktionspfad'!$D$7+8,Kompensation!$H$25,0)-IF(Kompensation!$I$26='CO2-Reduktionspfad'!$D$7+8,Kompensation!$H$26,0)-IF(Kompensation!$I$27='CO2-Reduktionspfad'!$D$7+8,Kompensation!$H$27,0)-IF(Kompensation!$I$28='CO2-Reduktionspfad'!$D$7+8,Kompensation!$H$28,0)</f>
        <v>406.99039999999997</v>
      </c>
      <c r="M25" s="167">
        <f>$M$23-IF(Kompensation!$I$19='CO2-Reduktionspfad'!$D$7+9,Kompensation!$H$19,0)-IF(Kompensation!$I$20='CO2-Reduktionspfad'!$D$7+9,Kompensation!$H$20,0)-IF(Kompensation!$I$21='CO2-Reduktionspfad'!$D$7+9,Kompensation!$H$21,0)-IF(Kompensation!$I$22='CO2-Reduktionspfad'!$D$7+9,Kompensation!$H$22,0)-IF(Kompensation!$I$23='CO2-Reduktionspfad'!$D$7+9,Kompensation!$H$23,0)-IF(Kompensation!$I$24='CO2-Reduktionspfad'!$D$7+9,Kompensation!$H$24,0)-IF(Kompensation!$I$25='CO2-Reduktionspfad'!$D$7+9,Kompensation!$H$25,0)-IF(Kompensation!$I$26='CO2-Reduktionspfad'!$D$7+9,Kompensation!$H$26,0)-IF(Kompensation!$I$27='CO2-Reduktionspfad'!$D$7+9,Kompensation!$H$27,0)-IF(Kompensation!$I$28='CO2-Reduktionspfad'!$D$7+9,Kompensation!$H$28,0)</f>
        <v>405.93919999999997</v>
      </c>
      <c r="N25" s="167">
        <f>$N$23-IF(Kompensation!$I$19='CO2-Reduktionspfad'!$D$7+10,Kompensation!$H$19,0)-IF(Kompensation!$I$20='CO2-Reduktionspfad'!$D$7+10,Kompensation!$H$20,0)-IF(Kompensation!$I$21='CO2-Reduktionspfad'!$D$7+10,Kompensation!$H$21,0)-IF(Kompensation!$I$22='CO2-Reduktionspfad'!$D$7+10,Kompensation!$H$22,0)-IF(Kompensation!$I$23='CO2-Reduktionspfad'!$D$7+10,Kompensation!$H$23,0)-IF(Kompensation!$I$24='CO2-Reduktionspfad'!$D$7+10,Kompensation!$H$24,0)-IF(Kompensation!$I$25='CO2-Reduktionspfad'!$D$7+10,Kompensation!$H$25,0)-IF(Kompensation!$I$26='CO2-Reduktionspfad'!$D$7+10,Kompensation!$H$26,0)-IF(Kompensation!$I$27='CO2-Reduktionspfad'!$D$7+10,Kompensation!$H$27,0)-IF(Kompensation!$I$28='CO2-Reduktionspfad'!$D$7+10,Kompensation!$H$28,0)</f>
        <v>404.88799999999998</v>
      </c>
      <c r="P25" s="348" t="s">
        <v>521</v>
      </c>
      <c r="Q25" s="348"/>
      <c r="R25" s="348"/>
      <c r="S25" s="132" t="s">
        <v>37</v>
      </c>
      <c r="T25" s="132"/>
    </row>
    <row r="26" spans="2:20" ht="50.1" customHeight="1" x14ac:dyDescent="0.25">
      <c r="B26" s="115"/>
      <c r="C26" s="166" t="s">
        <v>522</v>
      </c>
      <c r="D26" s="207">
        <v>415</v>
      </c>
      <c r="E26" s="207"/>
      <c r="F26" s="207"/>
      <c r="G26" s="207"/>
      <c r="H26" s="207"/>
      <c r="I26" s="207"/>
      <c r="J26" s="207"/>
      <c r="K26" s="207"/>
      <c r="L26" s="207"/>
      <c r="M26" s="207"/>
      <c r="N26" s="207"/>
      <c r="P26" s="348" t="s">
        <v>523</v>
      </c>
      <c r="Q26" s="348"/>
      <c r="R26" s="121"/>
      <c r="S26" s="132" t="s">
        <v>32</v>
      </c>
      <c r="T26" s="132"/>
    </row>
    <row r="27" spans="2:20" ht="24.75" customHeight="1" x14ac:dyDescent="0.25"/>
  </sheetData>
  <sheetProtection selectLockedCells="1"/>
  <mergeCells count="15">
    <mergeCell ref="B4:J4"/>
    <mergeCell ref="P24:Q24"/>
    <mergeCell ref="P26:Q26"/>
    <mergeCell ref="P23:R23"/>
    <mergeCell ref="P25:R25"/>
    <mergeCell ref="D7:E7"/>
    <mergeCell ref="B9:C9"/>
    <mergeCell ref="D9:E9"/>
    <mergeCell ref="G18:I18"/>
    <mergeCell ref="J16:L16"/>
    <mergeCell ref="C18:D18"/>
    <mergeCell ref="C16:D16"/>
    <mergeCell ref="E16:F16"/>
    <mergeCell ref="E18:F18"/>
    <mergeCell ref="M16:N16"/>
  </mergeCells>
  <pageMargins left="0.7" right="0.7" top="0.78740157499999996" bottom="0.78740157499999996" header="0.3" footer="0.3"/>
  <pageSetup paperSize="9" orientation="portrait" horizontalDpi="0" verticalDpi="0" r:id="rId1"/>
  <ignoredErrors>
    <ignoredError sqref="F25:N25" calculatedColumn="1"/>
  </ignoredError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855360AB-DB58-4A90-87DC-35761EFE76DD}">
          <x14:formula1>
            <xm:f>Status!$H$3:$H$27</xm:f>
          </x14:formula1>
          <xm:sqref>D7:E7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30C17-46D8-4B93-AEEF-8680F72B3DF5}">
  <sheetPr codeName="Tabelle12">
    <pageSetUpPr autoPageBreaks="0"/>
  </sheetPr>
  <dimension ref="B3:O51"/>
  <sheetViews>
    <sheetView showGridLines="0" zoomScaleNormal="100" workbookViewId="0">
      <selection activeCell="B54" sqref="B54"/>
    </sheetView>
  </sheetViews>
  <sheetFormatPr baseColWidth="10" defaultColWidth="11.42578125" defaultRowHeight="15" x14ac:dyDescent="0.25"/>
  <cols>
    <col min="1" max="1" width="7" customWidth="1"/>
  </cols>
  <sheetData>
    <row r="3" spans="2:3" ht="36" customHeight="1" x14ac:dyDescent="0.25">
      <c r="B3" s="366" t="s">
        <v>524</v>
      </c>
      <c r="C3" s="366"/>
    </row>
    <row r="4" spans="2:3" ht="15" customHeight="1" x14ac:dyDescent="0.25">
      <c r="B4" s="366"/>
      <c r="C4" s="366"/>
    </row>
    <row r="49" spans="2:15" ht="15.75" x14ac:dyDescent="0.25">
      <c r="B49" s="364" t="s">
        <v>525</v>
      </c>
      <c r="C49" s="364"/>
      <c r="D49" s="364"/>
      <c r="E49" s="364"/>
      <c r="F49" s="364"/>
      <c r="G49" s="364"/>
      <c r="H49" s="364"/>
      <c r="I49" s="364"/>
      <c r="J49" s="364"/>
      <c r="K49" s="364"/>
      <c r="L49" s="364"/>
    </row>
    <row r="50" spans="2:15" ht="6" customHeight="1" x14ac:dyDescent="0.25">
      <c r="B50" s="19"/>
      <c r="C50" s="19"/>
      <c r="D50" s="19"/>
      <c r="E50" s="19"/>
      <c r="F50" s="19"/>
      <c r="G50" s="19"/>
      <c r="H50" s="19"/>
      <c r="I50" s="19"/>
      <c r="J50" s="19"/>
      <c r="K50" s="19"/>
      <c r="L50" s="19"/>
    </row>
    <row r="51" spans="2:15" x14ac:dyDescent="0.25">
      <c r="B51" s="365" t="s">
        <v>526</v>
      </c>
      <c r="C51" s="365"/>
      <c r="D51" s="365"/>
      <c r="E51" s="365"/>
      <c r="F51" s="365"/>
      <c r="G51" s="365"/>
      <c r="H51" s="365"/>
      <c r="I51" s="365"/>
      <c r="J51" s="365"/>
      <c r="K51" s="365"/>
      <c r="L51" s="365"/>
      <c r="M51" s="365"/>
      <c r="N51" s="365"/>
      <c r="O51" s="365"/>
    </row>
  </sheetData>
  <mergeCells count="3">
    <mergeCell ref="B49:L49"/>
    <mergeCell ref="B51:O51"/>
    <mergeCell ref="B3:C4"/>
  </mergeCells>
  <hyperlinks>
    <hyperlink ref="B51" r:id="rId1" xr:uid="{A6E92F75-7F01-4DE9-A94D-858DBEBF8212}"/>
  </hyperlinks>
  <pageMargins left="0.7" right="0.7" top="0.78740157499999996" bottom="0.78740157499999996" header="0.3" footer="0.3"/>
  <pageSetup paperSize="9" orientation="portrait" horizontalDpi="0" verticalDpi="0"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12CAB-4A4D-4593-B474-7AAE5FA4536A}">
  <sheetPr codeName="Tabelle2"/>
  <dimension ref="B3:B8"/>
  <sheetViews>
    <sheetView workbookViewId="0">
      <selection activeCell="B9" sqref="B9"/>
    </sheetView>
  </sheetViews>
  <sheetFormatPr baseColWidth="10" defaultColWidth="11.42578125" defaultRowHeight="15" x14ac:dyDescent="0.25"/>
  <sheetData>
    <row r="3" spans="2:2" x14ac:dyDescent="0.25">
      <c r="B3" t="s">
        <v>527</v>
      </c>
    </row>
    <row r="5" spans="2:2" x14ac:dyDescent="0.25">
      <c r="B5" t="s">
        <v>528</v>
      </c>
    </row>
    <row r="6" spans="2:2" x14ac:dyDescent="0.25">
      <c r="B6" t="s">
        <v>529</v>
      </c>
    </row>
    <row r="7" spans="2:2" x14ac:dyDescent="0.25">
      <c r="B7" t="s">
        <v>530</v>
      </c>
    </row>
    <row r="8" spans="2:2" x14ac:dyDescent="0.25">
      <c r="B8" t="s">
        <v>531</v>
      </c>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A403E-D6E6-4D3A-A28C-9CC5D5B4B6E5}">
  <sheetPr codeName="Tabelle14"/>
  <dimension ref="A2:N181"/>
  <sheetViews>
    <sheetView zoomScale="115" zoomScaleNormal="115" workbookViewId="0">
      <pane ySplit="5" topLeftCell="A45" activePane="bottomLeft" state="frozen"/>
      <selection pane="bottomLeft" activeCell="E17" sqref="E17"/>
    </sheetView>
  </sheetViews>
  <sheetFormatPr baseColWidth="10" defaultColWidth="11.42578125" defaultRowHeight="15" x14ac:dyDescent="0.25"/>
  <cols>
    <col min="1" max="1" width="24" style="24" customWidth="1"/>
    <col min="2" max="2" width="48.7109375" style="24" customWidth="1"/>
    <col min="3" max="3" width="6.85546875" style="24" customWidth="1"/>
    <col min="4" max="4" width="37.140625" style="24" customWidth="1"/>
    <col min="5" max="5" width="15.85546875" customWidth="1"/>
    <col min="6" max="6" width="39.7109375" bestFit="1" customWidth="1"/>
    <col min="8" max="8" width="39.28515625" customWidth="1"/>
    <col min="9" max="9" width="19.7109375" customWidth="1"/>
  </cols>
  <sheetData>
    <row r="2" spans="1:10" ht="24" x14ac:dyDescent="0.45">
      <c r="A2" s="67" t="s">
        <v>532</v>
      </c>
    </row>
    <row r="5" spans="1:10" ht="30" x14ac:dyDescent="0.25">
      <c r="A5" s="66" t="s">
        <v>206</v>
      </c>
      <c r="B5" s="66" t="s">
        <v>533</v>
      </c>
      <c r="C5" s="66" t="s">
        <v>40</v>
      </c>
      <c r="D5" s="66" t="s">
        <v>534</v>
      </c>
      <c r="E5" s="66" t="s">
        <v>535</v>
      </c>
      <c r="F5" s="66" t="s">
        <v>207</v>
      </c>
      <c r="G5" s="66" t="s">
        <v>536</v>
      </c>
      <c r="H5" s="66" t="s">
        <v>537</v>
      </c>
      <c r="I5" s="66" t="s">
        <v>209</v>
      </c>
      <c r="J5" s="66" t="s">
        <v>538</v>
      </c>
    </row>
    <row r="6" spans="1:10" x14ac:dyDescent="0.25">
      <c r="A6" s="24" t="s">
        <v>210</v>
      </c>
      <c r="B6" s="24" t="s">
        <v>539</v>
      </c>
      <c r="C6" s="24" t="s">
        <v>540</v>
      </c>
      <c r="D6" s="24" t="s">
        <v>541</v>
      </c>
      <c r="E6" s="25">
        <f>21.294*0.1</f>
        <v>2.1294</v>
      </c>
      <c r="F6" t="s">
        <v>542</v>
      </c>
      <c r="G6">
        <v>2021</v>
      </c>
      <c r="H6" t="s">
        <v>543</v>
      </c>
      <c r="I6" t="s">
        <v>544</v>
      </c>
      <c r="J6" s="34" t="s">
        <v>545</v>
      </c>
    </row>
    <row r="7" spans="1:10" x14ac:dyDescent="0.25">
      <c r="B7" s="24" t="s">
        <v>539</v>
      </c>
      <c r="C7" s="24" t="s">
        <v>546</v>
      </c>
      <c r="D7" s="24" t="s">
        <v>547</v>
      </c>
      <c r="E7" s="26">
        <f>E6*10</f>
        <v>21.294</v>
      </c>
      <c r="F7" t="s">
        <v>548</v>
      </c>
      <c r="G7">
        <v>2021</v>
      </c>
      <c r="H7" t="s">
        <v>549</v>
      </c>
      <c r="I7" s="34" t="s">
        <v>550</v>
      </c>
    </row>
    <row r="8" spans="1:10" x14ac:dyDescent="0.25">
      <c r="B8" s="24" t="s">
        <v>551</v>
      </c>
      <c r="C8" s="24" t="s">
        <v>552</v>
      </c>
      <c r="D8" s="24" t="s">
        <v>541</v>
      </c>
      <c r="E8" s="25">
        <f>E9*0.2</f>
        <v>4.2587999999999999</v>
      </c>
      <c r="F8" t="s">
        <v>542</v>
      </c>
      <c r="G8">
        <v>2021</v>
      </c>
      <c r="H8" t="s">
        <v>553</v>
      </c>
      <c r="I8" s="34" t="s">
        <v>550</v>
      </c>
    </row>
    <row r="9" spans="1:10" x14ac:dyDescent="0.25">
      <c r="B9" s="24" t="s">
        <v>551</v>
      </c>
      <c r="C9" s="24" t="s">
        <v>554</v>
      </c>
      <c r="D9" s="24" t="s">
        <v>547</v>
      </c>
      <c r="E9" s="26">
        <v>21.294</v>
      </c>
      <c r="F9" t="s">
        <v>548</v>
      </c>
      <c r="G9">
        <v>2021</v>
      </c>
      <c r="I9" t="s">
        <v>555</v>
      </c>
      <c r="J9" s="34" t="s">
        <v>545</v>
      </c>
    </row>
    <row r="10" spans="1:10" x14ac:dyDescent="0.25">
      <c r="A10" s="24" t="s">
        <v>556</v>
      </c>
      <c r="B10" s="24" t="s">
        <v>557</v>
      </c>
      <c r="C10" s="24" t="s">
        <v>558</v>
      </c>
      <c r="D10" s="24" t="s">
        <v>559</v>
      </c>
      <c r="E10" s="46">
        <v>311</v>
      </c>
      <c r="F10" t="s">
        <v>560</v>
      </c>
      <c r="G10">
        <v>2020</v>
      </c>
      <c r="H10" t="s">
        <v>561</v>
      </c>
      <c r="I10" t="s">
        <v>562</v>
      </c>
      <c r="J10" s="34" t="s">
        <v>563</v>
      </c>
    </row>
    <row r="11" spans="1:10" x14ac:dyDescent="0.25">
      <c r="B11" s="24" t="s">
        <v>564</v>
      </c>
      <c r="C11" s="24" t="s">
        <v>565</v>
      </c>
      <c r="D11" s="24" t="s">
        <v>559</v>
      </c>
      <c r="E11" s="65">
        <v>200</v>
      </c>
      <c r="F11" t="s">
        <v>566</v>
      </c>
      <c r="G11">
        <v>2020</v>
      </c>
      <c r="I11" t="s">
        <v>562</v>
      </c>
      <c r="J11" t="s">
        <v>563</v>
      </c>
    </row>
    <row r="12" spans="1:10" x14ac:dyDescent="0.25">
      <c r="B12" s="24" t="s">
        <v>567</v>
      </c>
      <c r="C12" s="24" t="s">
        <v>568</v>
      </c>
      <c r="D12" s="24" t="s">
        <v>559</v>
      </c>
      <c r="E12" s="64">
        <v>346.9</v>
      </c>
      <c r="F12" t="s">
        <v>569</v>
      </c>
      <c r="G12">
        <v>2020</v>
      </c>
      <c r="I12" t="s">
        <v>562</v>
      </c>
      <c r="J12" t="s">
        <v>563</v>
      </c>
    </row>
    <row r="13" spans="1:10" x14ac:dyDescent="0.25">
      <c r="B13" s="24" t="s">
        <v>570</v>
      </c>
      <c r="C13" s="24" t="s">
        <v>571</v>
      </c>
      <c r="D13" s="24" t="s">
        <v>559</v>
      </c>
      <c r="E13" s="64">
        <v>88.2</v>
      </c>
      <c r="F13" t="s">
        <v>569</v>
      </c>
      <c r="G13">
        <v>2020</v>
      </c>
      <c r="I13" t="s">
        <v>562</v>
      </c>
      <c r="J13" t="s">
        <v>563</v>
      </c>
    </row>
    <row r="14" spans="1:10" ht="30" x14ac:dyDescent="0.25">
      <c r="A14" s="24" t="s">
        <v>572</v>
      </c>
      <c r="B14" s="24" t="s">
        <v>573</v>
      </c>
      <c r="C14" s="24" t="s">
        <v>574</v>
      </c>
      <c r="D14" s="24" t="s">
        <v>575</v>
      </c>
      <c r="E14" s="50">
        <f>0.052*E78</f>
        <v>2.2775999999999998E-2</v>
      </c>
      <c r="F14" t="s">
        <v>576</v>
      </c>
      <c r="G14">
        <v>2020</v>
      </c>
      <c r="H14" s="24" t="s">
        <v>577</v>
      </c>
      <c r="I14" t="s">
        <v>562</v>
      </c>
      <c r="J14" t="s">
        <v>563</v>
      </c>
    </row>
    <row r="15" spans="1:10" x14ac:dyDescent="0.25">
      <c r="B15" s="24" t="s">
        <v>578</v>
      </c>
      <c r="C15" s="24" t="s">
        <v>579</v>
      </c>
      <c r="D15" s="24" t="s">
        <v>575</v>
      </c>
      <c r="E15" s="51">
        <f>0.252*E78</f>
        <v>0.110376</v>
      </c>
      <c r="F15" t="s">
        <v>576</v>
      </c>
      <c r="G15">
        <v>2020</v>
      </c>
      <c r="H15" t="s">
        <v>577</v>
      </c>
      <c r="I15" t="s">
        <v>562</v>
      </c>
      <c r="J15" t="s">
        <v>563</v>
      </c>
    </row>
    <row r="16" spans="1:10" x14ac:dyDescent="0.25">
      <c r="A16" s="24" t="s">
        <v>216</v>
      </c>
      <c r="B16" s="24" t="s">
        <v>580</v>
      </c>
      <c r="C16" s="24" t="s">
        <v>581</v>
      </c>
      <c r="D16" s="24" t="s">
        <v>582</v>
      </c>
      <c r="E16" s="30">
        <f>919.4*0.0024948/500</f>
        <v>4.58743824E-3</v>
      </c>
      <c r="F16" t="s">
        <v>583</v>
      </c>
      <c r="G16">
        <v>2021</v>
      </c>
      <c r="H16" t="s">
        <v>584</v>
      </c>
      <c r="I16" t="s">
        <v>585</v>
      </c>
      <c r="J16" s="34" t="s">
        <v>545</v>
      </c>
    </row>
    <row r="17" spans="1:10" x14ac:dyDescent="0.25">
      <c r="B17" s="24" t="s">
        <v>586</v>
      </c>
      <c r="C17" s="24" t="s">
        <v>587</v>
      </c>
      <c r="D17" s="24" t="s">
        <v>582</v>
      </c>
      <c r="E17" s="30">
        <f>739.4*0.0024948/500</f>
        <v>3.6893102400000002E-3</v>
      </c>
      <c r="F17" t="s">
        <v>583</v>
      </c>
      <c r="G17">
        <v>2021</v>
      </c>
      <c r="H17" t="s">
        <v>584</v>
      </c>
      <c r="I17" t="s">
        <v>588</v>
      </c>
      <c r="J17" s="34" t="s">
        <v>545</v>
      </c>
    </row>
    <row r="18" spans="1:10" x14ac:dyDescent="0.25">
      <c r="B18" s="24" t="s">
        <v>589</v>
      </c>
      <c r="C18" s="24" t="s">
        <v>590</v>
      </c>
      <c r="D18" s="24" t="s">
        <v>591</v>
      </c>
      <c r="E18" s="25">
        <f>919.4*0.000175</f>
        <v>0.16089499999999998</v>
      </c>
      <c r="F18" t="s">
        <v>592</v>
      </c>
      <c r="G18">
        <v>2021</v>
      </c>
      <c r="H18" t="s">
        <v>593</v>
      </c>
      <c r="I18" t="s">
        <v>585</v>
      </c>
      <c r="J18" s="34" t="s">
        <v>545</v>
      </c>
    </row>
    <row r="19" spans="1:10" x14ac:dyDescent="0.25">
      <c r="B19" s="24" t="s">
        <v>594</v>
      </c>
      <c r="C19" s="24" t="s">
        <v>595</v>
      </c>
      <c r="D19" s="24" t="s">
        <v>596</v>
      </c>
      <c r="E19" s="25">
        <f>E18*9</f>
        <v>1.4480549999999999</v>
      </c>
      <c r="F19" t="s">
        <v>592</v>
      </c>
      <c r="G19">
        <v>2021</v>
      </c>
      <c r="H19" t="s">
        <v>597</v>
      </c>
      <c r="I19" t="s">
        <v>585</v>
      </c>
      <c r="J19" s="34" t="s">
        <v>545</v>
      </c>
    </row>
    <row r="20" spans="1:10" x14ac:dyDescent="0.25">
      <c r="B20" s="24" t="s">
        <v>598</v>
      </c>
      <c r="C20" s="24" t="s">
        <v>599</v>
      </c>
      <c r="D20" s="24" t="s">
        <v>591</v>
      </c>
      <c r="E20" s="25">
        <f>739.4*0.000175</f>
        <v>0.12939499999999998</v>
      </c>
      <c r="F20" t="s">
        <v>592</v>
      </c>
      <c r="G20">
        <v>2021</v>
      </c>
      <c r="H20" t="s">
        <v>593</v>
      </c>
      <c r="I20" t="s">
        <v>588</v>
      </c>
      <c r="J20" s="34" t="s">
        <v>545</v>
      </c>
    </row>
    <row r="21" spans="1:10" x14ac:dyDescent="0.25">
      <c r="B21" s="24" t="s">
        <v>600</v>
      </c>
      <c r="C21" s="24" t="s">
        <v>601</v>
      </c>
      <c r="D21" s="24" t="s">
        <v>596</v>
      </c>
      <c r="E21" s="25">
        <f>E20*9</f>
        <v>1.1645549999999998</v>
      </c>
      <c r="F21" t="s">
        <v>592</v>
      </c>
      <c r="G21">
        <v>2021</v>
      </c>
      <c r="H21" t="s">
        <v>597</v>
      </c>
      <c r="I21" t="s">
        <v>588</v>
      </c>
      <c r="J21" s="34" t="s">
        <v>545</v>
      </c>
    </row>
    <row r="22" spans="1:10" x14ac:dyDescent="0.25">
      <c r="B22" s="24" t="s">
        <v>602</v>
      </c>
      <c r="C22" s="24" t="s">
        <v>603</v>
      </c>
      <c r="D22" s="24" t="s">
        <v>582</v>
      </c>
      <c r="E22" s="30">
        <f>919.4*0.000002</f>
        <v>1.8387999999999998E-3</v>
      </c>
      <c r="F22" t="s">
        <v>583</v>
      </c>
      <c r="G22">
        <v>2021</v>
      </c>
      <c r="H22" t="s">
        <v>604</v>
      </c>
      <c r="I22" t="s">
        <v>588</v>
      </c>
      <c r="J22" s="34" t="s">
        <v>545</v>
      </c>
    </row>
    <row r="23" spans="1:10" x14ac:dyDescent="0.25">
      <c r="B23" s="24" t="s">
        <v>605</v>
      </c>
      <c r="C23" s="24" t="s">
        <v>606</v>
      </c>
      <c r="D23" s="24" t="s">
        <v>582</v>
      </c>
      <c r="E23" s="30">
        <f>739.39628*0.000002</f>
        <v>1.47879256E-3</v>
      </c>
      <c r="F23" t="s">
        <v>583</v>
      </c>
      <c r="G23">
        <v>2021</v>
      </c>
      <c r="H23" t="s">
        <v>604</v>
      </c>
      <c r="I23" t="s">
        <v>588</v>
      </c>
      <c r="J23" s="34" t="s">
        <v>545</v>
      </c>
    </row>
    <row r="24" spans="1:10" x14ac:dyDescent="0.25">
      <c r="A24" s="24" t="s">
        <v>607</v>
      </c>
      <c r="B24" s="24" t="s">
        <v>608</v>
      </c>
      <c r="C24" s="24" t="s">
        <v>609</v>
      </c>
      <c r="D24" s="24" t="s">
        <v>610</v>
      </c>
      <c r="E24" s="63">
        <v>0.8</v>
      </c>
      <c r="F24" t="s">
        <v>611</v>
      </c>
      <c r="G24">
        <v>2019</v>
      </c>
      <c r="H24" t="s">
        <v>612</v>
      </c>
      <c r="I24" t="s">
        <v>613</v>
      </c>
      <c r="J24" s="59" t="s">
        <v>614</v>
      </c>
    </row>
    <row r="25" spans="1:10" x14ac:dyDescent="0.25">
      <c r="B25" s="24" t="s">
        <v>615</v>
      </c>
      <c r="C25" s="24" t="s">
        <v>616</v>
      </c>
      <c r="D25" s="24" t="s">
        <v>610</v>
      </c>
      <c r="E25" s="63">
        <v>1.6</v>
      </c>
      <c r="F25" t="s">
        <v>611</v>
      </c>
      <c r="G25">
        <v>2019</v>
      </c>
      <c r="H25" t="s">
        <v>617</v>
      </c>
      <c r="I25" t="s">
        <v>613</v>
      </c>
      <c r="J25" s="59" t="s">
        <v>614</v>
      </c>
    </row>
    <row r="26" spans="1:10" x14ac:dyDescent="0.25">
      <c r="B26" s="24" t="s">
        <v>618</v>
      </c>
      <c r="C26" s="24" t="s">
        <v>619</v>
      </c>
      <c r="D26" s="24" t="s">
        <v>610</v>
      </c>
      <c r="E26" s="63">
        <v>0.6</v>
      </c>
      <c r="F26" t="s">
        <v>611</v>
      </c>
      <c r="G26">
        <v>2019</v>
      </c>
      <c r="H26" t="s">
        <v>617</v>
      </c>
      <c r="I26" t="s">
        <v>613</v>
      </c>
      <c r="J26" s="59" t="s">
        <v>614</v>
      </c>
    </row>
    <row r="27" spans="1:10" x14ac:dyDescent="0.25">
      <c r="B27" s="62"/>
      <c r="E27" s="33"/>
      <c r="J27" s="59"/>
    </row>
    <row r="28" spans="1:10" ht="27.6" customHeight="1" x14ac:dyDescent="0.25">
      <c r="A28" s="24" t="s">
        <v>620</v>
      </c>
      <c r="B28" s="24" t="s">
        <v>621</v>
      </c>
      <c r="C28" s="24" t="s">
        <v>622</v>
      </c>
      <c r="D28" s="24" t="s">
        <v>623</v>
      </c>
      <c r="E28" s="47">
        <f>SUM(E29:E31)</f>
        <v>0.20499999999999999</v>
      </c>
      <c r="F28" t="s">
        <v>624</v>
      </c>
      <c r="G28">
        <v>2019</v>
      </c>
      <c r="H28" t="s">
        <v>625</v>
      </c>
    </row>
    <row r="29" spans="1:10" ht="18" customHeight="1" x14ac:dyDescent="0.25">
      <c r="B29" s="37" t="s">
        <v>626</v>
      </c>
      <c r="C29" s="37"/>
      <c r="D29" s="37"/>
      <c r="E29" s="36">
        <f>0.7*0.04</f>
        <v>2.7999999999999997E-2</v>
      </c>
      <c r="F29" s="35" t="s">
        <v>627</v>
      </c>
      <c r="H29" s="35" t="s">
        <v>628</v>
      </c>
      <c r="I29" s="35" t="s">
        <v>613</v>
      </c>
      <c r="J29" s="58" t="s">
        <v>614</v>
      </c>
    </row>
    <row r="30" spans="1:10" ht="18" customHeight="1" x14ac:dyDescent="0.25">
      <c r="B30" s="37" t="s">
        <v>629</v>
      </c>
      <c r="C30" s="37"/>
      <c r="D30" s="37"/>
      <c r="E30" s="36">
        <f>9*0.01</f>
        <v>0.09</v>
      </c>
      <c r="F30" s="35" t="s">
        <v>627</v>
      </c>
      <c r="H30" s="35" t="s">
        <v>630</v>
      </c>
      <c r="I30" s="35" t="s">
        <v>613</v>
      </c>
      <c r="J30" s="58" t="s">
        <v>614</v>
      </c>
    </row>
    <row r="31" spans="1:10" ht="18" customHeight="1" x14ac:dyDescent="0.25">
      <c r="B31" s="37" t="s">
        <v>631</v>
      </c>
      <c r="C31" s="37"/>
      <c r="D31" s="37"/>
      <c r="E31" s="36">
        <f>2.9*0.03</f>
        <v>8.6999999999999994E-2</v>
      </c>
      <c r="F31" s="35" t="s">
        <v>627</v>
      </c>
      <c r="H31" s="35" t="s">
        <v>632</v>
      </c>
      <c r="I31" s="35" t="s">
        <v>613</v>
      </c>
      <c r="J31" s="58" t="s">
        <v>614</v>
      </c>
    </row>
    <row r="32" spans="1:10" x14ac:dyDescent="0.25">
      <c r="B32" s="24" t="s">
        <v>633</v>
      </c>
      <c r="C32" s="24" t="s">
        <v>634</v>
      </c>
      <c r="D32" s="24" t="s">
        <v>623</v>
      </c>
      <c r="E32" s="47">
        <f>SUM(E33:E35)</f>
        <v>0.28899999999999998</v>
      </c>
      <c r="F32" t="s">
        <v>624</v>
      </c>
      <c r="G32">
        <v>2019</v>
      </c>
      <c r="H32" t="s">
        <v>625</v>
      </c>
    </row>
    <row r="33" spans="1:10" x14ac:dyDescent="0.25">
      <c r="B33" s="37" t="s">
        <v>626</v>
      </c>
      <c r="D33" s="37"/>
      <c r="E33" s="36">
        <f>0.7*0.04</f>
        <v>2.7999999999999997E-2</v>
      </c>
      <c r="F33" s="35" t="s">
        <v>627</v>
      </c>
      <c r="H33" s="35" t="s">
        <v>628</v>
      </c>
      <c r="I33" s="35" t="s">
        <v>613</v>
      </c>
      <c r="J33" s="58" t="s">
        <v>614</v>
      </c>
    </row>
    <row r="34" spans="1:10" x14ac:dyDescent="0.25">
      <c r="B34" s="37" t="s">
        <v>629</v>
      </c>
      <c r="D34" s="37"/>
      <c r="E34" s="36">
        <f>9*0.01</f>
        <v>0.09</v>
      </c>
      <c r="F34" s="35" t="s">
        <v>627</v>
      </c>
      <c r="H34" s="35" t="s">
        <v>630</v>
      </c>
      <c r="I34" s="35" t="s">
        <v>613</v>
      </c>
      <c r="J34" s="58" t="s">
        <v>614</v>
      </c>
    </row>
    <row r="35" spans="1:10" x14ac:dyDescent="0.25">
      <c r="B35" s="37" t="s">
        <v>635</v>
      </c>
      <c r="D35" s="37"/>
      <c r="E35" s="61">
        <f>5.7*0.03</f>
        <v>0.17099999999999999</v>
      </c>
      <c r="F35" s="35" t="s">
        <v>627</v>
      </c>
      <c r="H35" s="35" t="s">
        <v>636</v>
      </c>
      <c r="I35" s="35" t="s">
        <v>613</v>
      </c>
      <c r="J35" s="58" t="s">
        <v>614</v>
      </c>
    </row>
    <row r="36" spans="1:10" x14ac:dyDescent="0.25">
      <c r="B36" s="24" t="s">
        <v>637</v>
      </c>
      <c r="C36" s="24" t="s">
        <v>638</v>
      </c>
      <c r="D36" s="24" t="s">
        <v>623</v>
      </c>
      <c r="E36" s="38">
        <f>SUM(E37:E39)</f>
        <v>9.6000000000000002E-2</v>
      </c>
      <c r="F36" t="s">
        <v>624</v>
      </c>
      <c r="G36">
        <v>2019</v>
      </c>
      <c r="H36" t="s">
        <v>625</v>
      </c>
    </row>
    <row r="37" spans="1:10" x14ac:dyDescent="0.25">
      <c r="B37" s="37" t="s">
        <v>626</v>
      </c>
      <c r="C37" s="37"/>
      <c r="D37" s="37"/>
      <c r="E37" s="36">
        <f>0.7*0.04</f>
        <v>2.7999999999999997E-2</v>
      </c>
      <c r="F37" s="35" t="s">
        <v>627</v>
      </c>
      <c r="H37" s="35" t="s">
        <v>628</v>
      </c>
    </row>
    <row r="38" spans="1:10" x14ac:dyDescent="0.25">
      <c r="B38" s="37" t="s">
        <v>639</v>
      </c>
      <c r="C38" s="37"/>
      <c r="D38" s="37"/>
      <c r="E38" s="36">
        <f>1.7*0.01</f>
        <v>1.7000000000000001E-2</v>
      </c>
      <c r="F38" s="35" t="s">
        <v>627</v>
      </c>
      <c r="H38" s="35" t="s">
        <v>640</v>
      </c>
    </row>
    <row r="39" spans="1:10" x14ac:dyDescent="0.25">
      <c r="B39" s="37" t="s">
        <v>641</v>
      </c>
      <c r="C39" s="37"/>
      <c r="D39" s="37"/>
      <c r="E39" s="36">
        <f>1.7*0.03</f>
        <v>5.0999999999999997E-2</v>
      </c>
      <c r="F39" s="35" t="s">
        <v>627</v>
      </c>
      <c r="H39" s="35" t="s">
        <v>642</v>
      </c>
    </row>
    <row r="40" spans="1:10" x14ac:dyDescent="0.25">
      <c r="B40" s="24" t="s">
        <v>643</v>
      </c>
      <c r="C40" s="24" t="s">
        <v>638</v>
      </c>
      <c r="D40" s="24" t="s">
        <v>623</v>
      </c>
      <c r="E40" s="38">
        <f>0.7*0.04</f>
        <v>2.7999999999999997E-2</v>
      </c>
      <c r="F40" t="s">
        <v>624</v>
      </c>
      <c r="G40">
        <v>2019</v>
      </c>
      <c r="H40" t="s">
        <v>628</v>
      </c>
      <c r="I40" t="s">
        <v>613</v>
      </c>
      <c r="J40" s="59" t="s">
        <v>614</v>
      </c>
    </row>
    <row r="41" spans="1:10" x14ac:dyDescent="0.25">
      <c r="B41" s="24" t="s">
        <v>644</v>
      </c>
      <c r="C41" s="24" t="s">
        <v>645</v>
      </c>
      <c r="D41" s="24" t="s">
        <v>623</v>
      </c>
      <c r="E41" s="47">
        <f>1.6*(AVERAGE(E42:E44)/1000)</f>
        <v>0.22826666666666667</v>
      </c>
      <c r="F41" t="s">
        <v>646</v>
      </c>
      <c r="G41">
        <v>2019</v>
      </c>
      <c r="H41" t="s">
        <v>647</v>
      </c>
      <c r="I41" t="s">
        <v>613</v>
      </c>
      <c r="J41" s="59" t="s">
        <v>614</v>
      </c>
    </row>
    <row r="42" spans="1:10" x14ac:dyDescent="0.25">
      <c r="B42" s="37" t="s">
        <v>648</v>
      </c>
      <c r="C42" s="37"/>
      <c r="E42" s="60">
        <v>60</v>
      </c>
      <c r="F42" s="35" t="s">
        <v>649</v>
      </c>
      <c r="H42" s="35" t="s">
        <v>650</v>
      </c>
      <c r="J42" s="59"/>
    </row>
    <row r="43" spans="1:10" x14ac:dyDescent="0.25">
      <c r="B43" s="37" t="s">
        <v>651</v>
      </c>
      <c r="C43" s="37"/>
      <c r="E43" s="60">
        <v>230</v>
      </c>
      <c r="F43" s="35" t="s">
        <v>649</v>
      </c>
      <c r="J43" s="59"/>
    </row>
    <row r="44" spans="1:10" x14ac:dyDescent="0.25">
      <c r="B44" s="37" t="s">
        <v>652</v>
      </c>
      <c r="E44" s="60">
        <v>138</v>
      </c>
      <c r="F44" s="35" t="s">
        <v>649</v>
      </c>
      <c r="J44" s="59"/>
    </row>
    <row r="45" spans="1:10" x14ac:dyDescent="0.25">
      <c r="B45" s="24" t="s">
        <v>653</v>
      </c>
      <c r="C45" s="24" t="s">
        <v>654</v>
      </c>
      <c r="D45" s="24" t="s">
        <v>655</v>
      </c>
      <c r="E45" s="47">
        <f>2.9*0.08</f>
        <v>0.23199999999999998</v>
      </c>
      <c r="F45" t="s">
        <v>646</v>
      </c>
      <c r="G45">
        <v>2020</v>
      </c>
      <c r="H45" t="s">
        <v>656</v>
      </c>
      <c r="I45" t="s">
        <v>613</v>
      </c>
      <c r="J45" s="59" t="s">
        <v>614</v>
      </c>
    </row>
    <row r="46" spans="1:10" x14ac:dyDescent="0.25">
      <c r="A46" s="24" t="s">
        <v>657</v>
      </c>
      <c r="B46" s="24" t="s">
        <v>658</v>
      </c>
      <c r="C46" s="24" t="s">
        <v>659</v>
      </c>
      <c r="D46" s="24" t="s">
        <v>660</v>
      </c>
      <c r="E46" s="55">
        <v>5.6</v>
      </c>
      <c r="F46" t="s">
        <v>661</v>
      </c>
      <c r="G46">
        <v>2020</v>
      </c>
      <c r="I46" t="s">
        <v>613</v>
      </c>
      <c r="J46" s="59" t="s">
        <v>614</v>
      </c>
    </row>
    <row r="47" spans="1:10" x14ac:dyDescent="0.25">
      <c r="B47" s="24" t="s">
        <v>658</v>
      </c>
      <c r="C47" s="24" t="s">
        <v>662</v>
      </c>
      <c r="D47" s="24" t="s">
        <v>663</v>
      </c>
      <c r="E47" s="47">
        <f>5.6*0.057</f>
        <v>0.31919999999999998</v>
      </c>
      <c r="F47" t="s">
        <v>664</v>
      </c>
      <c r="G47">
        <v>2020</v>
      </c>
      <c r="H47" t="s">
        <v>665</v>
      </c>
    </row>
    <row r="48" spans="1:10" x14ac:dyDescent="0.25">
      <c r="B48" s="24" t="s">
        <v>666</v>
      </c>
      <c r="C48" s="24" t="s">
        <v>667</v>
      </c>
      <c r="D48" s="24" t="s">
        <v>663</v>
      </c>
      <c r="E48" s="47">
        <f>1.4/1.03</f>
        <v>1.3592233009708736</v>
      </c>
      <c r="F48" t="s">
        <v>664</v>
      </c>
      <c r="G48">
        <v>2020</v>
      </c>
      <c r="H48" t="s">
        <v>668</v>
      </c>
      <c r="I48" t="s">
        <v>613</v>
      </c>
      <c r="J48" s="59" t="s">
        <v>614</v>
      </c>
    </row>
    <row r="49" spans="1:10" x14ac:dyDescent="0.25">
      <c r="B49" s="24" t="s">
        <v>669</v>
      </c>
      <c r="C49" s="24" t="s">
        <v>670</v>
      </c>
      <c r="D49" s="24" t="s">
        <v>663</v>
      </c>
      <c r="E49" s="55">
        <v>0.4</v>
      </c>
      <c r="F49" t="s">
        <v>664</v>
      </c>
      <c r="G49">
        <v>2020</v>
      </c>
      <c r="H49" t="s">
        <v>671</v>
      </c>
      <c r="I49" t="s">
        <v>613</v>
      </c>
      <c r="J49" s="59" t="s">
        <v>614</v>
      </c>
    </row>
    <row r="50" spans="1:10" x14ac:dyDescent="0.25">
      <c r="B50" s="24" t="s">
        <v>672</v>
      </c>
      <c r="C50" s="24" t="s">
        <v>673</v>
      </c>
      <c r="D50" s="24" t="s">
        <v>663</v>
      </c>
      <c r="E50" s="38">
        <f>0.000515*1000</f>
        <v>0.51500000000000001</v>
      </c>
      <c r="F50" t="s">
        <v>664</v>
      </c>
      <c r="G50">
        <v>2018</v>
      </c>
      <c r="I50" t="s">
        <v>674</v>
      </c>
    </row>
    <row r="51" spans="1:10" x14ac:dyDescent="0.25">
      <c r="E51" s="33"/>
    </row>
    <row r="52" spans="1:10" x14ac:dyDescent="0.25">
      <c r="E52" s="33"/>
    </row>
    <row r="53" spans="1:10" x14ac:dyDescent="0.25">
      <c r="A53" s="24" t="s">
        <v>242</v>
      </c>
      <c r="B53" s="24" t="s">
        <v>675</v>
      </c>
      <c r="C53" s="24" t="s">
        <v>676</v>
      </c>
      <c r="D53" s="24" t="s">
        <v>677</v>
      </c>
      <c r="E53" s="26">
        <f>0.152*1.4</f>
        <v>0.21279999999999999</v>
      </c>
      <c r="F53" t="s">
        <v>678</v>
      </c>
      <c r="G53">
        <v>2020</v>
      </c>
      <c r="H53" t="s">
        <v>679</v>
      </c>
      <c r="I53" s="34" t="s">
        <v>680</v>
      </c>
    </row>
    <row r="54" spans="1:10" ht="15.75" customHeight="1" x14ac:dyDescent="0.25">
      <c r="B54" s="20" t="s">
        <v>681</v>
      </c>
      <c r="C54" s="20" t="s">
        <v>682</v>
      </c>
      <c r="D54" s="24" t="s">
        <v>677</v>
      </c>
      <c r="E54" s="33">
        <f>0.152*1.4/2.3</f>
        <v>9.252173913043478E-2</v>
      </c>
      <c r="F54" t="s">
        <v>678</v>
      </c>
      <c r="G54">
        <v>2020</v>
      </c>
      <c r="H54" t="s">
        <v>683</v>
      </c>
      <c r="I54" s="34" t="s">
        <v>680</v>
      </c>
    </row>
    <row r="55" spans="1:10" x14ac:dyDescent="0.25">
      <c r="B55" s="24" t="s">
        <v>684</v>
      </c>
      <c r="C55" s="24" t="s">
        <v>685</v>
      </c>
      <c r="D55" s="24" t="s">
        <v>677</v>
      </c>
      <c r="E55" s="38">
        <v>3.5999999999999997E-2</v>
      </c>
      <c r="F55" t="s">
        <v>678</v>
      </c>
      <c r="G55">
        <v>2020</v>
      </c>
      <c r="H55" t="s">
        <v>686</v>
      </c>
      <c r="I55" s="34" t="s">
        <v>680</v>
      </c>
    </row>
    <row r="56" spans="1:10" x14ac:dyDescent="0.25">
      <c r="B56" s="24" t="s">
        <v>687</v>
      </c>
      <c r="C56" s="24" t="s">
        <v>688</v>
      </c>
      <c r="D56" s="24" t="s">
        <v>677</v>
      </c>
      <c r="E56" s="25">
        <f>AVERAGE(E57:E58)</f>
        <v>5.2709999999999993E-2</v>
      </c>
      <c r="F56" t="s">
        <v>678</v>
      </c>
      <c r="G56">
        <v>2021</v>
      </c>
    </row>
    <row r="57" spans="1:10" x14ac:dyDescent="0.25">
      <c r="B57" s="37" t="s">
        <v>689</v>
      </c>
      <c r="D57" s="37"/>
      <c r="E57" s="52">
        <f>21/100*E78</f>
        <v>9.1979999999999992E-2</v>
      </c>
      <c r="F57" s="35" t="s">
        <v>678</v>
      </c>
      <c r="H57" s="35" t="s">
        <v>690</v>
      </c>
      <c r="I57" s="35"/>
      <c r="J57" s="58"/>
    </row>
    <row r="58" spans="1:10" x14ac:dyDescent="0.25">
      <c r="B58" s="37" t="s">
        <v>691</v>
      </c>
      <c r="D58" s="37"/>
      <c r="E58" s="52">
        <f>21/100*E79</f>
        <v>1.3440000000000001E-2</v>
      </c>
      <c r="F58" s="35" t="s">
        <v>678</v>
      </c>
      <c r="H58" s="35" t="s">
        <v>690</v>
      </c>
      <c r="I58" s="35"/>
      <c r="J58" s="58"/>
    </row>
    <row r="59" spans="1:10" x14ac:dyDescent="0.25">
      <c r="B59" s="24" t="s">
        <v>692</v>
      </c>
      <c r="C59" s="24" t="s">
        <v>693</v>
      </c>
      <c r="D59" s="24" t="s">
        <v>677</v>
      </c>
      <c r="E59" s="25">
        <f>AVERAGE(E60:E61)</f>
        <v>2.2917391304347827E-2</v>
      </c>
      <c r="F59" t="s">
        <v>678</v>
      </c>
      <c r="G59">
        <v>2021</v>
      </c>
      <c r="H59" t="s">
        <v>683</v>
      </c>
    </row>
    <row r="60" spans="1:10" x14ac:dyDescent="0.25">
      <c r="B60" s="37" t="s">
        <v>689</v>
      </c>
      <c r="D60" s="37"/>
      <c r="E60" s="36">
        <f>21/100*E78/2.3</f>
        <v>3.9991304347826086E-2</v>
      </c>
      <c r="F60" s="35" t="s">
        <v>678</v>
      </c>
      <c r="H60" s="35" t="s">
        <v>690</v>
      </c>
      <c r="I60" s="35"/>
    </row>
    <row r="61" spans="1:10" x14ac:dyDescent="0.25">
      <c r="B61" s="37" t="s">
        <v>691</v>
      </c>
      <c r="D61" s="37"/>
      <c r="E61" s="52">
        <f>21/100*E79/2.3</f>
        <v>5.8434782608695656E-3</v>
      </c>
      <c r="F61" s="35" t="s">
        <v>678</v>
      </c>
      <c r="H61" s="35" t="s">
        <v>690</v>
      </c>
      <c r="I61" s="35"/>
    </row>
    <row r="62" spans="1:10" x14ac:dyDescent="0.25">
      <c r="B62" s="24" t="s">
        <v>694</v>
      </c>
      <c r="C62" s="24" t="s">
        <v>695</v>
      </c>
      <c r="D62" s="24" t="s">
        <v>677</v>
      </c>
      <c r="E62" s="25">
        <f>AVERAGE(E63:E64)</f>
        <v>3.5139999999999998E-3</v>
      </c>
      <c r="F62" t="s">
        <v>678</v>
      </c>
      <c r="G62">
        <v>2021</v>
      </c>
      <c r="H62" t="s">
        <v>696</v>
      </c>
    </row>
    <row r="63" spans="1:10" x14ac:dyDescent="0.25">
      <c r="B63" s="37" t="s">
        <v>689</v>
      </c>
      <c r="D63" s="37"/>
      <c r="E63" s="52">
        <f>1.4/100*E78</f>
        <v>6.1319999999999994E-3</v>
      </c>
      <c r="F63" s="35" t="s">
        <v>678</v>
      </c>
      <c r="H63" s="35" t="s">
        <v>697</v>
      </c>
      <c r="I63" s="35" t="s">
        <v>698</v>
      </c>
    </row>
    <row r="64" spans="1:10" x14ac:dyDescent="0.25">
      <c r="B64" s="37" t="s">
        <v>691</v>
      </c>
      <c r="D64" s="37"/>
      <c r="E64" s="52">
        <f>1.4/100*E79</f>
        <v>8.9599999999999988E-4</v>
      </c>
      <c r="F64" s="35" t="s">
        <v>678</v>
      </c>
      <c r="H64" s="35" t="s">
        <v>697</v>
      </c>
      <c r="I64" s="35" t="s">
        <v>698</v>
      </c>
    </row>
    <row r="65" spans="1:10" x14ac:dyDescent="0.25">
      <c r="B65" s="24" t="s">
        <v>699</v>
      </c>
      <c r="C65" s="24" t="s">
        <v>700</v>
      </c>
      <c r="D65" s="24" t="s">
        <v>677</v>
      </c>
      <c r="E65" s="33">
        <f>AVERAGE(E66:E67)</f>
        <v>3.7649999999999997E-3</v>
      </c>
      <c r="F65" t="s">
        <v>678</v>
      </c>
      <c r="G65">
        <v>2021</v>
      </c>
      <c r="H65" t="s">
        <v>696</v>
      </c>
    </row>
    <row r="66" spans="1:10" x14ac:dyDescent="0.25">
      <c r="B66" s="37" t="s">
        <v>689</v>
      </c>
      <c r="D66" s="37"/>
      <c r="E66" s="52">
        <f>1.5/100*E78</f>
        <v>6.5699999999999995E-3</v>
      </c>
      <c r="F66" s="35" t="s">
        <v>678</v>
      </c>
      <c r="H66" s="35" t="s">
        <v>701</v>
      </c>
      <c r="I66" s="35" t="s">
        <v>702</v>
      </c>
    </row>
    <row r="67" spans="1:10" x14ac:dyDescent="0.25">
      <c r="B67" s="37" t="s">
        <v>691</v>
      </c>
      <c r="D67" s="37"/>
      <c r="E67" s="52">
        <f>1.5/100*E79</f>
        <v>9.6000000000000002E-4</v>
      </c>
      <c r="F67" s="35" t="s">
        <v>678</v>
      </c>
      <c r="H67" s="35" t="s">
        <v>701</v>
      </c>
      <c r="I67" s="35" t="s">
        <v>702</v>
      </c>
    </row>
    <row r="68" spans="1:10" x14ac:dyDescent="0.25">
      <c r="B68" s="24" t="s">
        <v>703</v>
      </c>
      <c r="C68" s="45" t="s">
        <v>704</v>
      </c>
      <c r="D68" s="24" t="s">
        <v>677</v>
      </c>
      <c r="E68" s="57">
        <v>0.11355</v>
      </c>
      <c r="F68" t="s">
        <v>678</v>
      </c>
      <c r="G68">
        <v>2021</v>
      </c>
      <c r="H68" t="s">
        <v>705</v>
      </c>
      <c r="I68" t="s">
        <v>706</v>
      </c>
      <c r="J68" s="34" t="s">
        <v>545</v>
      </c>
    </row>
    <row r="69" spans="1:10" x14ac:dyDescent="0.25">
      <c r="B69" s="24" t="s">
        <v>707</v>
      </c>
      <c r="C69" s="45" t="s">
        <v>708</v>
      </c>
      <c r="D69" s="24" t="s">
        <v>677</v>
      </c>
      <c r="E69" s="38">
        <f>AVERAGE(E70:E72)</f>
        <v>6.4000000000000001E-2</v>
      </c>
      <c r="F69" t="s">
        <v>678</v>
      </c>
      <c r="H69" t="s">
        <v>709</v>
      </c>
      <c r="I69" s="34" t="s">
        <v>680</v>
      </c>
    </row>
    <row r="70" spans="1:10" x14ac:dyDescent="0.25">
      <c r="B70" s="45" t="s">
        <v>710</v>
      </c>
      <c r="D70" s="24" t="s">
        <v>677</v>
      </c>
      <c r="E70" s="38">
        <v>5.3999999999999999E-2</v>
      </c>
      <c r="F70" t="s">
        <v>678</v>
      </c>
      <c r="G70">
        <v>2019</v>
      </c>
      <c r="H70" t="s">
        <v>711</v>
      </c>
      <c r="I70" s="34" t="s">
        <v>680</v>
      </c>
    </row>
    <row r="71" spans="1:10" x14ac:dyDescent="0.25">
      <c r="B71" s="45" t="s">
        <v>712</v>
      </c>
      <c r="D71" s="24" t="s">
        <v>677</v>
      </c>
      <c r="E71" s="38">
        <v>8.3000000000000004E-2</v>
      </c>
      <c r="F71" t="s">
        <v>678</v>
      </c>
      <c r="G71">
        <v>2019</v>
      </c>
      <c r="H71" t="s">
        <v>711</v>
      </c>
      <c r="I71" s="34" t="s">
        <v>680</v>
      </c>
    </row>
    <row r="72" spans="1:10" x14ac:dyDescent="0.25">
      <c r="B72" s="45" t="s">
        <v>713</v>
      </c>
      <c r="C72" s="37"/>
      <c r="D72" s="24" t="s">
        <v>677</v>
      </c>
      <c r="E72" s="38">
        <v>5.5E-2</v>
      </c>
      <c r="F72" t="s">
        <v>678</v>
      </c>
      <c r="G72">
        <v>2019</v>
      </c>
      <c r="H72" t="s">
        <v>711</v>
      </c>
      <c r="I72" s="34" t="s">
        <v>680</v>
      </c>
    </row>
    <row r="73" spans="1:10" x14ac:dyDescent="0.25">
      <c r="B73" s="45" t="s">
        <v>714</v>
      </c>
      <c r="C73" s="24" t="s">
        <v>715</v>
      </c>
      <c r="D73" s="24" t="s">
        <v>677</v>
      </c>
      <c r="E73" s="33">
        <f>AVERAGE(E74:E75)</f>
        <v>0.23020000000000002</v>
      </c>
      <c r="F73" t="s">
        <v>678</v>
      </c>
      <c r="G73">
        <v>2019</v>
      </c>
      <c r="H73" t="s">
        <v>716</v>
      </c>
      <c r="I73" s="34" t="s">
        <v>680</v>
      </c>
    </row>
    <row r="74" spans="1:10" x14ac:dyDescent="0.25">
      <c r="B74" s="37" t="s">
        <v>717</v>
      </c>
      <c r="D74" s="37"/>
      <c r="E74" s="52">
        <f>0.0002475*1000</f>
        <v>0.2475</v>
      </c>
      <c r="F74" s="35" t="s">
        <v>678</v>
      </c>
      <c r="G74">
        <v>2019</v>
      </c>
      <c r="H74" t="s">
        <v>711</v>
      </c>
      <c r="I74" s="35" t="s">
        <v>718</v>
      </c>
    </row>
    <row r="75" spans="1:10" x14ac:dyDescent="0.25">
      <c r="B75" s="37" t="s">
        <v>719</v>
      </c>
      <c r="D75" s="37"/>
      <c r="E75" s="52">
        <f>0.0002129*1000</f>
        <v>0.21290000000000001</v>
      </c>
      <c r="F75" s="35" t="s">
        <v>678</v>
      </c>
      <c r="G75">
        <v>2019</v>
      </c>
      <c r="H75" t="s">
        <v>711</v>
      </c>
      <c r="I75" s="35" t="s">
        <v>718</v>
      </c>
    </row>
    <row r="76" spans="1:10" x14ac:dyDescent="0.25">
      <c r="B76" s="24" t="s">
        <v>720</v>
      </c>
      <c r="C76" s="24" t="s">
        <v>721</v>
      </c>
      <c r="D76" s="24" t="s">
        <v>677</v>
      </c>
      <c r="E76" s="56">
        <v>1.8738000000000001E-2</v>
      </c>
      <c r="F76" t="s">
        <v>678</v>
      </c>
      <c r="G76">
        <v>2021</v>
      </c>
      <c r="H76" t="s">
        <v>722</v>
      </c>
      <c r="I76" t="s">
        <v>706</v>
      </c>
      <c r="J76" s="34" t="s">
        <v>545</v>
      </c>
    </row>
    <row r="77" spans="1:10" x14ac:dyDescent="0.25">
      <c r="E77" s="33"/>
    </row>
    <row r="78" spans="1:10" x14ac:dyDescent="0.25">
      <c r="A78" s="24" t="s">
        <v>252</v>
      </c>
      <c r="B78" s="24" t="s">
        <v>723</v>
      </c>
      <c r="C78" s="24" t="s">
        <v>724</v>
      </c>
      <c r="D78" s="24" t="s">
        <v>725</v>
      </c>
      <c r="E78" s="38">
        <v>0.438</v>
      </c>
      <c r="F78" t="s">
        <v>726</v>
      </c>
      <c r="G78">
        <v>2020</v>
      </c>
      <c r="H78" t="s">
        <v>727</v>
      </c>
      <c r="I78" s="34" t="s">
        <v>728</v>
      </c>
    </row>
    <row r="79" spans="1:10" x14ac:dyDescent="0.25">
      <c r="B79" s="24" t="s">
        <v>729</v>
      </c>
      <c r="C79" s="24" t="s">
        <v>730</v>
      </c>
      <c r="D79" s="24" t="s">
        <v>731</v>
      </c>
      <c r="E79" s="38">
        <v>6.4000000000000001E-2</v>
      </c>
      <c r="F79" t="s">
        <v>726</v>
      </c>
      <c r="G79">
        <v>2020</v>
      </c>
      <c r="I79" t="s">
        <v>732</v>
      </c>
      <c r="J79" s="34" t="s">
        <v>733</v>
      </c>
    </row>
    <row r="80" spans="1:10" x14ac:dyDescent="0.25">
      <c r="B80" s="24" t="s">
        <v>734</v>
      </c>
      <c r="C80" s="24" t="s">
        <v>735</v>
      </c>
      <c r="D80" s="24" t="s">
        <v>731</v>
      </c>
      <c r="E80" s="30">
        <v>5.5714E-2</v>
      </c>
      <c r="F80" t="s">
        <v>726</v>
      </c>
      <c r="G80">
        <v>2021</v>
      </c>
      <c r="I80" s="41" t="s">
        <v>736</v>
      </c>
    </row>
    <row r="81" spans="1:9" x14ac:dyDescent="0.25">
      <c r="B81" s="24" t="s">
        <v>737</v>
      </c>
      <c r="C81" s="24" t="s">
        <v>738</v>
      </c>
      <c r="D81" s="24" t="s">
        <v>731</v>
      </c>
      <c r="E81" s="30">
        <v>2.6489999999999999E-3</v>
      </c>
      <c r="F81" t="s">
        <v>726</v>
      </c>
      <c r="G81">
        <v>2021</v>
      </c>
      <c r="I81" s="41" t="s">
        <v>736</v>
      </c>
    </row>
    <row r="83" spans="1:9" x14ac:dyDescent="0.25">
      <c r="E83" s="33"/>
    </row>
    <row r="84" spans="1:9" x14ac:dyDescent="0.25">
      <c r="A84" s="24" t="s">
        <v>260</v>
      </c>
      <c r="B84" s="24" t="s">
        <v>335</v>
      </c>
      <c r="C84" s="24" t="s">
        <v>739</v>
      </c>
      <c r="D84" s="24" t="s">
        <v>731</v>
      </c>
      <c r="E84" s="50">
        <v>0.152</v>
      </c>
      <c r="F84" t="s">
        <v>726</v>
      </c>
      <c r="G84">
        <v>2021</v>
      </c>
      <c r="I84" s="34" t="s">
        <v>740</v>
      </c>
    </row>
    <row r="85" spans="1:9" x14ac:dyDescent="0.25">
      <c r="B85" s="24" t="s">
        <v>336</v>
      </c>
      <c r="C85" s="24" t="s">
        <v>741</v>
      </c>
      <c r="D85" s="24" t="s">
        <v>731</v>
      </c>
      <c r="E85" s="38">
        <v>2.7E-2</v>
      </c>
      <c r="F85" t="s">
        <v>726</v>
      </c>
      <c r="G85">
        <v>2021</v>
      </c>
      <c r="I85" s="34" t="s">
        <v>740</v>
      </c>
    </row>
    <row r="86" spans="1:9" x14ac:dyDescent="0.25">
      <c r="B86" s="24" t="s">
        <v>336</v>
      </c>
      <c r="C86" s="24" t="s">
        <v>742</v>
      </c>
      <c r="D86" s="24" t="s">
        <v>743</v>
      </c>
      <c r="E86" s="55">
        <f>0.027*800</f>
        <v>21.6</v>
      </c>
      <c r="F86" t="s">
        <v>744</v>
      </c>
      <c r="G86">
        <v>2021</v>
      </c>
      <c r="I86" s="34" t="s">
        <v>740</v>
      </c>
    </row>
    <row r="87" spans="1:9" x14ac:dyDescent="0.25">
      <c r="B87" s="24" t="s">
        <v>336</v>
      </c>
      <c r="C87" s="24" t="s">
        <v>745</v>
      </c>
      <c r="D87" s="24" t="s">
        <v>746</v>
      </c>
      <c r="E87" s="46">
        <f>0.027*4000</f>
        <v>108</v>
      </c>
      <c r="F87" t="s">
        <v>548</v>
      </c>
      <c r="G87">
        <v>2021</v>
      </c>
      <c r="I87" s="34" t="s">
        <v>740</v>
      </c>
    </row>
    <row r="88" spans="1:9" x14ac:dyDescent="0.25">
      <c r="B88" s="24" t="s">
        <v>337</v>
      </c>
      <c r="C88" s="24" t="s">
        <v>747</v>
      </c>
      <c r="D88" s="24" t="s">
        <v>731</v>
      </c>
      <c r="E88" s="38">
        <v>3.5999999999999997E-2</v>
      </c>
      <c r="F88" t="s">
        <v>726</v>
      </c>
      <c r="G88">
        <v>2021</v>
      </c>
      <c r="I88" s="34" t="s">
        <v>740</v>
      </c>
    </row>
    <row r="89" spans="1:9" x14ac:dyDescent="0.25">
      <c r="B89" s="24" t="s">
        <v>337</v>
      </c>
      <c r="C89" s="24" t="s">
        <v>748</v>
      </c>
      <c r="D89" s="24" t="s">
        <v>746</v>
      </c>
      <c r="E89" s="42">
        <f>0.036*5000</f>
        <v>180</v>
      </c>
      <c r="F89" t="s">
        <v>548</v>
      </c>
      <c r="G89">
        <v>2021</v>
      </c>
      <c r="I89" s="34" t="s">
        <v>740</v>
      </c>
    </row>
    <row r="90" spans="1:9" x14ac:dyDescent="0.25">
      <c r="B90" s="24" t="s">
        <v>337</v>
      </c>
      <c r="C90" s="24" t="s">
        <v>749</v>
      </c>
      <c r="D90" s="24" t="s">
        <v>541</v>
      </c>
      <c r="E90" s="42">
        <f>0.036*3250</f>
        <v>116.99999999999999</v>
      </c>
      <c r="F90" t="s">
        <v>542</v>
      </c>
      <c r="G90">
        <v>2021</v>
      </c>
      <c r="I90" s="34" t="s">
        <v>740</v>
      </c>
    </row>
    <row r="91" spans="1:9" x14ac:dyDescent="0.25">
      <c r="B91" s="24" t="s">
        <v>338</v>
      </c>
      <c r="C91" s="24" t="s">
        <v>750</v>
      </c>
      <c r="D91" s="24" t="s">
        <v>731</v>
      </c>
      <c r="E91" s="38">
        <v>0.247</v>
      </c>
      <c r="F91" t="s">
        <v>726</v>
      </c>
      <c r="G91">
        <v>2020</v>
      </c>
      <c r="I91" t="s">
        <v>751</v>
      </c>
    </row>
    <row r="92" spans="1:9" x14ac:dyDescent="0.25">
      <c r="B92" s="24" t="s">
        <v>338</v>
      </c>
      <c r="C92" s="24" t="s">
        <v>752</v>
      </c>
      <c r="D92" s="24" t="s">
        <v>541</v>
      </c>
      <c r="E92" s="54">
        <f>E91*9.77</f>
        <v>2.4131899999999997</v>
      </c>
      <c r="F92" t="s">
        <v>542</v>
      </c>
      <c r="G92">
        <v>2021</v>
      </c>
      <c r="H92" t="s">
        <v>753</v>
      </c>
      <c r="I92" t="s">
        <v>751</v>
      </c>
    </row>
    <row r="93" spans="1:9" x14ac:dyDescent="0.25">
      <c r="B93" s="24" t="s">
        <v>339</v>
      </c>
      <c r="C93" s="24" t="s">
        <v>754</v>
      </c>
      <c r="D93" s="24" t="s">
        <v>731</v>
      </c>
      <c r="E93" s="51">
        <f>AVERAGE(E94:E95)</f>
        <v>0.4224</v>
      </c>
      <c r="F93" t="s">
        <v>726</v>
      </c>
      <c r="G93">
        <v>2005</v>
      </c>
      <c r="H93" t="s">
        <v>755</v>
      </c>
      <c r="I93" s="53" t="s">
        <v>756</v>
      </c>
    </row>
    <row r="94" spans="1:9" x14ac:dyDescent="0.25">
      <c r="B94" s="37" t="s">
        <v>757</v>
      </c>
      <c r="D94" s="37" t="s">
        <v>731</v>
      </c>
      <c r="E94" s="52">
        <v>0.38939999999999997</v>
      </c>
      <c r="F94" s="35" t="s">
        <v>726</v>
      </c>
      <c r="G94" s="35"/>
      <c r="H94" s="35" t="s">
        <v>758</v>
      </c>
      <c r="I94" s="35" t="s">
        <v>756</v>
      </c>
    </row>
    <row r="95" spans="1:9" x14ac:dyDescent="0.25">
      <c r="B95" s="37" t="s">
        <v>759</v>
      </c>
      <c r="C95" s="24" t="s">
        <v>754</v>
      </c>
      <c r="D95" s="37" t="s">
        <v>731</v>
      </c>
      <c r="E95" s="52">
        <v>0.45539999999999997</v>
      </c>
      <c r="F95" s="35" t="s">
        <v>726</v>
      </c>
      <c r="G95" s="35"/>
      <c r="H95" s="35" t="s">
        <v>758</v>
      </c>
      <c r="I95" s="35" t="s">
        <v>756</v>
      </c>
    </row>
    <row r="96" spans="1:9" x14ac:dyDescent="0.25">
      <c r="B96" s="24" t="s">
        <v>340</v>
      </c>
      <c r="C96" s="24" t="s">
        <v>760</v>
      </c>
      <c r="D96" s="24" t="s">
        <v>731</v>
      </c>
      <c r="E96" s="50">
        <f>0.247/0.93/0.85</f>
        <v>0.312460468058191</v>
      </c>
      <c r="F96" t="s">
        <v>761</v>
      </c>
      <c r="G96">
        <v>2021</v>
      </c>
      <c r="H96" t="s">
        <v>762</v>
      </c>
      <c r="I96" s="34" t="s">
        <v>740</v>
      </c>
    </row>
    <row r="97" spans="1:14" x14ac:dyDescent="0.25">
      <c r="B97" s="24" t="s">
        <v>341</v>
      </c>
      <c r="C97" s="24" t="s">
        <v>763</v>
      </c>
      <c r="D97" s="24" t="s">
        <v>731</v>
      </c>
      <c r="E97" s="50">
        <f>E84/0.93/0.85</f>
        <v>0.19228336495888676</v>
      </c>
      <c r="F97" t="s">
        <v>761</v>
      </c>
      <c r="G97">
        <v>2021</v>
      </c>
      <c r="H97" t="s">
        <v>762</v>
      </c>
      <c r="I97" s="34" t="s">
        <v>740</v>
      </c>
    </row>
    <row r="98" spans="1:14" x14ac:dyDescent="0.25">
      <c r="B98" s="24" t="s">
        <v>764</v>
      </c>
      <c r="C98" s="24" t="s">
        <v>765</v>
      </c>
      <c r="D98" s="24" t="s">
        <v>731</v>
      </c>
      <c r="E98" s="51">
        <f>0.1843/0.85</f>
        <v>0.21682352941176469</v>
      </c>
      <c r="F98" t="s">
        <v>761</v>
      </c>
      <c r="G98">
        <v>2005</v>
      </c>
      <c r="H98" t="s">
        <v>766</v>
      </c>
      <c r="I98" s="34" t="s">
        <v>756</v>
      </c>
    </row>
    <row r="99" spans="1:14" x14ac:dyDescent="0.25">
      <c r="B99" s="24" t="s">
        <v>767</v>
      </c>
      <c r="D99" s="24" t="s">
        <v>731</v>
      </c>
      <c r="E99" s="49">
        <v>0.04</v>
      </c>
      <c r="F99" t="s">
        <v>761</v>
      </c>
      <c r="G99">
        <v>2020</v>
      </c>
      <c r="H99" t="s">
        <v>768</v>
      </c>
      <c r="I99" s="34" t="s">
        <v>769</v>
      </c>
    </row>
    <row r="100" spans="1:14" x14ac:dyDescent="0.25">
      <c r="B100" s="24" t="s">
        <v>343</v>
      </c>
      <c r="C100" s="24" t="s">
        <v>770</v>
      </c>
      <c r="D100" s="24" t="s">
        <v>731</v>
      </c>
      <c r="E100" s="50">
        <f>0.027/0.93/0.85</f>
        <v>3.4155597722960153E-2</v>
      </c>
      <c r="F100" t="s">
        <v>761</v>
      </c>
      <c r="G100">
        <v>2021</v>
      </c>
      <c r="H100" t="s">
        <v>762</v>
      </c>
    </row>
    <row r="101" spans="1:14" x14ac:dyDescent="0.25">
      <c r="B101" s="24" t="s">
        <v>344</v>
      </c>
      <c r="C101" s="24" t="s">
        <v>771</v>
      </c>
      <c r="D101" s="24" t="s">
        <v>731</v>
      </c>
      <c r="E101" s="49">
        <v>0.04</v>
      </c>
      <c r="F101" t="s">
        <v>761</v>
      </c>
      <c r="G101">
        <v>2020</v>
      </c>
      <c r="H101" t="s">
        <v>772</v>
      </c>
      <c r="I101" s="34" t="s">
        <v>769</v>
      </c>
    </row>
    <row r="102" spans="1:14" x14ac:dyDescent="0.25">
      <c r="B102" s="24" t="s">
        <v>345</v>
      </c>
      <c r="C102" s="48" t="s">
        <v>773</v>
      </c>
      <c r="D102" s="24" t="s">
        <v>731</v>
      </c>
      <c r="E102" s="38">
        <f>0.000276*1000</f>
        <v>0.27599999999999997</v>
      </c>
      <c r="F102" t="s">
        <v>726</v>
      </c>
      <c r="G102">
        <v>2020</v>
      </c>
      <c r="I102" t="s">
        <v>751</v>
      </c>
    </row>
    <row r="103" spans="1:14" x14ac:dyDescent="0.25">
      <c r="B103" s="24" t="s">
        <v>345</v>
      </c>
      <c r="C103" s="48" t="s">
        <v>774</v>
      </c>
      <c r="D103" s="24" t="s">
        <v>541</v>
      </c>
      <c r="E103" s="42">
        <f>0.000276*1000*6.57*1000</f>
        <v>1813.3199999999997</v>
      </c>
      <c r="F103" t="s">
        <v>542</v>
      </c>
      <c r="G103">
        <v>2020</v>
      </c>
    </row>
    <row r="104" spans="1:14" x14ac:dyDescent="0.25">
      <c r="B104" s="24" t="s">
        <v>346</v>
      </c>
      <c r="C104" s="48" t="s">
        <v>775</v>
      </c>
      <c r="D104" t="s">
        <v>663</v>
      </c>
      <c r="E104" s="47">
        <f>0.000318*1000*9.94</f>
        <v>3.16092</v>
      </c>
      <c r="F104" t="s">
        <v>726</v>
      </c>
      <c r="G104">
        <v>2020</v>
      </c>
      <c r="H104" t="s">
        <v>776</v>
      </c>
      <c r="I104" t="s">
        <v>777</v>
      </c>
    </row>
    <row r="105" spans="1:14" x14ac:dyDescent="0.25">
      <c r="B105" s="24" t="s">
        <v>346</v>
      </c>
      <c r="C105" s="24" t="s">
        <v>778</v>
      </c>
      <c r="D105" t="s">
        <v>731</v>
      </c>
      <c r="E105" s="38">
        <f>0.000318*1000</f>
        <v>0.318</v>
      </c>
      <c r="F105" t="s">
        <v>726</v>
      </c>
      <c r="G105">
        <v>2020</v>
      </c>
      <c r="H105" t="s">
        <v>776</v>
      </c>
      <c r="I105" t="s">
        <v>777</v>
      </c>
    </row>
    <row r="106" spans="1:14" x14ac:dyDescent="0.25">
      <c r="B106" s="24" t="s">
        <v>779</v>
      </c>
      <c r="C106" s="24" t="s">
        <v>780</v>
      </c>
      <c r="D106" s="24" t="s">
        <v>731</v>
      </c>
      <c r="E106" s="38">
        <f>E78</f>
        <v>0.438</v>
      </c>
      <c r="F106" t="s">
        <v>726</v>
      </c>
      <c r="G106">
        <v>2021</v>
      </c>
      <c r="H106" t="s">
        <v>781</v>
      </c>
      <c r="I106" s="34" t="s">
        <v>728</v>
      </c>
    </row>
    <row r="107" spans="1:14" x14ac:dyDescent="0.25">
      <c r="B107" s="24" t="s">
        <v>782</v>
      </c>
      <c r="E107" s="55">
        <v>3.1</v>
      </c>
      <c r="I107" s="34"/>
    </row>
    <row r="108" spans="1:14" x14ac:dyDescent="0.25">
      <c r="B108" s="24" t="s">
        <v>783</v>
      </c>
      <c r="E108" s="55">
        <v>3.8</v>
      </c>
      <c r="I108" s="34"/>
    </row>
    <row r="109" spans="1:14" x14ac:dyDescent="0.25">
      <c r="E109" s="33"/>
      <c r="I109" s="34"/>
    </row>
    <row r="110" spans="1:14" ht="30" x14ac:dyDescent="0.25">
      <c r="A110" s="45" t="s">
        <v>784</v>
      </c>
      <c r="B110" s="45" t="s">
        <v>785</v>
      </c>
      <c r="C110" s="24" t="s">
        <v>786</v>
      </c>
      <c r="D110" s="24" t="s">
        <v>787</v>
      </c>
      <c r="E110" s="46">
        <v>800</v>
      </c>
      <c r="I110" s="43" t="s">
        <v>788</v>
      </c>
      <c r="N110" s="34" t="s">
        <v>789</v>
      </c>
    </row>
    <row r="111" spans="1:14" x14ac:dyDescent="0.25">
      <c r="A111" s="45"/>
      <c r="B111" s="45" t="s">
        <v>790</v>
      </c>
      <c r="C111" s="24" t="s">
        <v>791</v>
      </c>
      <c r="D111" s="24" t="s">
        <v>792</v>
      </c>
      <c r="E111" s="46">
        <v>4000</v>
      </c>
      <c r="I111" s="43" t="s">
        <v>788</v>
      </c>
      <c r="N111" s="34" t="s">
        <v>789</v>
      </c>
    </row>
    <row r="112" spans="1:14" x14ac:dyDescent="0.25">
      <c r="A112" s="45"/>
      <c r="B112" s="45" t="s">
        <v>793</v>
      </c>
      <c r="C112" s="24" t="s">
        <v>794</v>
      </c>
      <c r="D112" s="24" t="s">
        <v>792</v>
      </c>
      <c r="E112" s="42">
        <v>5000</v>
      </c>
      <c r="I112" s="43" t="s">
        <v>788</v>
      </c>
      <c r="N112" s="34" t="s">
        <v>789</v>
      </c>
    </row>
    <row r="113" spans="1:14" x14ac:dyDescent="0.25">
      <c r="A113" s="45"/>
      <c r="B113" s="45" t="s">
        <v>795</v>
      </c>
      <c r="C113" s="24" t="s">
        <v>796</v>
      </c>
      <c r="D113" s="24" t="s">
        <v>797</v>
      </c>
      <c r="E113" s="42">
        <v>3250</v>
      </c>
      <c r="I113" s="43" t="s">
        <v>788</v>
      </c>
      <c r="N113" s="34" t="s">
        <v>789</v>
      </c>
    </row>
    <row r="114" spans="1:14" x14ac:dyDescent="0.25">
      <c r="A114" s="45"/>
      <c r="B114" s="45" t="s">
        <v>798</v>
      </c>
      <c r="C114" s="24" t="s">
        <v>799</v>
      </c>
      <c r="D114" s="24" t="s">
        <v>797</v>
      </c>
      <c r="E114" s="44">
        <v>9.77</v>
      </c>
      <c r="I114" s="43" t="s">
        <v>800</v>
      </c>
    </row>
    <row r="115" spans="1:14" x14ac:dyDescent="0.25">
      <c r="A115" s="45"/>
      <c r="B115" s="45" t="s">
        <v>801</v>
      </c>
      <c r="C115" s="24" t="s">
        <v>802</v>
      </c>
      <c r="D115" s="24" t="s">
        <v>797</v>
      </c>
      <c r="E115" s="46">
        <v>6570</v>
      </c>
      <c r="I115" s="43" t="s">
        <v>800</v>
      </c>
    </row>
    <row r="116" spans="1:14" x14ac:dyDescent="0.25">
      <c r="A116" s="45"/>
      <c r="B116" s="45" t="s">
        <v>803</v>
      </c>
      <c r="C116" s="24" t="s">
        <v>804</v>
      </c>
      <c r="D116" s="24" t="s">
        <v>805</v>
      </c>
      <c r="E116" s="44">
        <v>9.94</v>
      </c>
      <c r="I116" s="43" t="s">
        <v>800</v>
      </c>
    </row>
    <row r="117" spans="1:14" x14ac:dyDescent="0.25">
      <c r="B117" s="24" t="s">
        <v>806</v>
      </c>
      <c r="C117" s="24" t="s">
        <v>807</v>
      </c>
      <c r="D117" s="24" t="s">
        <v>808</v>
      </c>
      <c r="E117" s="42">
        <v>350</v>
      </c>
      <c r="I117" s="34" t="s">
        <v>809</v>
      </c>
    </row>
    <row r="118" spans="1:14" x14ac:dyDescent="0.25">
      <c r="E118" s="33"/>
      <c r="I118" s="34"/>
    </row>
    <row r="119" spans="1:14" x14ac:dyDescent="0.25">
      <c r="E119" s="33"/>
    </row>
    <row r="120" spans="1:14" x14ac:dyDescent="0.25">
      <c r="B120" s="24" t="s">
        <v>810</v>
      </c>
      <c r="C120" s="24" t="s">
        <v>811</v>
      </c>
      <c r="D120" s="24" t="s">
        <v>731</v>
      </c>
      <c r="E120" s="30">
        <f>E121*0.8+E122*0.2</f>
        <v>1.1452400000000001E-2</v>
      </c>
      <c r="F120" t="s">
        <v>726</v>
      </c>
      <c r="G120">
        <v>2021</v>
      </c>
      <c r="H120" t="s">
        <v>812</v>
      </c>
      <c r="I120" s="41" t="s">
        <v>736</v>
      </c>
    </row>
    <row r="121" spans="1:14" x14ac:dyDescent="0.25">
      <c r="B121" s="37" t="s">
        <v>813</v>
      </c>
      <c r="D121" s="37" t="s">
        <v>731</v>
      </c>
      <c r="E121" s="40">
        <f>10.644/1000</f>
        <v>1.0644000000000001E-2</v>
      </c>
      <c r="F121" s="35" t="s">
        <v>726</v>
      </c>
      <c r="G121">
        <v>2021</v>
      </c>
      <c r="H121" s="35"/>
      <c r="I121" s="35"/>
    </row>
    <row r="122" spans="1:14" x14ac:dyDescent="0.25">
      <c r="B122" s="37" t="s">
        <v>814</v>
      </c>
      <c r="D122" s="37" t="s">
        <v>731</v>
      </c>
      <c r="E122" s="40">
        <f>14.686/1000</f>
        <v>1.4685999999999999E-2</v>
      </c>
      <c r="F122" s="35" t="s">
        <v>726</v>
      </c>
      <c r="G122">
        <v>2021</v>
      </c>
      <c r="H122" s="35"/>
      <c r="I122" s="35"/>
    </row>
    <row r="123" spans="1:14" x14ac:dyDescent="0.25">
      <c r="B123" s="24" t="s">
        <v>810</v>
      </c>
      <c r="C123" s="24" t="s">
        <v>815</v>
      </c>
      <c r="D123" s="24" t="s">
        <v>816</v>
      </c>
      <c r="E123" s="25">
        <f>E120*350</f>
        <v>4.0083400000000005</v>
      </c>
      <c r="F123" t="s">
        <v>817</v>
      </c>
      <c r="G123">
        <v>2021</v>
      </c>
      <c r="H123" t="s">
        <v>818</v>
      </c>
      <c r="I123" s="35"/>
    </row>
    <row r="124" spans="1:14" x14ac:dyDescent="0.25">
      <c r="C124" s="39"/>
      <c r="E124" s="33"/>
    </row>
    <row r="125" spans="1:14" x14ac:dyDescent="0.25">
      <c r="A125" s="24" t="s">
        <v>819</v>
      </c>
      <c r="B125" s="24" t="s">
        <v>820</v>
      </c>
      <c r="C125" s="39" t="s">
        <v>821</v>
      </c>
      <c r="D125" s="24" t="s">
        <v>541</v>
      </c>
      <c r="E125" s="38">
        <f>SUM(E126:E127)</f>
        <v>0.42100000000000004</v>
      </c>
      <c r="F125" t="s">
        <v>542</v>
      </c>
      <c r="G125">
        <v>2021</v>
      </c>
      <c r="I125" t="s">
        <v>822</v>
      </c>
      <c r="J125" s="34" t="s">
        <v>545</v>
      </c>
    </row>
    <row r="126" spans="1:14" x14ac:dyDescent="0.25">
      <c r="B126" s="37" t="s">
        <v>823</v>
      </c>
      <c r="D126" s="37" t="s">
        <v>541</v>
      </c>
      <c r="E126" s="36">
        <f>0.000149*1000</f>
        <v>0.14899999999999999</v>
      </c>
      <c r="F126" s="35" t="s">
        <v>542</v>
      </c>
      <c r="G126">
        <v>2021</v>
      </c>
      <c r="H126" s="35" t="s">
        <v>824</v>
      </c>
      <c r="I126" s="35" t="s">
        <v>822</v>
      </c>
      <c r="J126" s="34" t="s">
        <v>545</v>
      </c>
    </row>
    <row r="127" spans="1:14" x14ac:dyDescent="0.25">
      <c r="B127" s="37" t="s">
        <v>825</v>
      </c>
      <c r="D127" s="37" t="s">
        <v>541</v>
      </c>
      <c r="E127" s="36">
        <f>0.000272*1000</f>
        <v>0.27200000000000002</v>
      </c>
      <c r="F127" s="35" t="s">
        <v>542</v>
      </c>
      <c r="G127">
        <v>2021</v>
      </c>
      <c r="H127" s="35" t="s">
        <v>826</v>
      </c>
      <c r="I127" s="35" t="s">
        <v>822</v>
      </c>
      <c r="J127" s="34" t="s">
        <v>545</v>
      </c>
    </row>
    <row r="128" spans="1:14" x14ac:dyDescent="0.25">
      <c r="E128" s="33"/>
    </row>
    <row r="129" spans="1:9" ht="30" x14ac:dyDescent="0.25">
      <c r="A129" s="24" t="s">
        <v>827</v>
      </c>
      <c r="B129" s="24" t="s">
        <v>828</v>
      </c>
    </row>
    <row r="130" spans="1:9" x14ac:dyDescent="0.25">
      <c r="B130" s="24" t="s">
        <v>829</v>
      </c>
      <c r="C130" s="24" t="s">
        <v>830</v>
      </c>
      <c r="D130" s="24" t="s">
        <v>831</v>
      </c>
      <c r="E130" s="31">
        <v>4750</v>
      </c>
      <c r="F130" t="s">
        <v>832</v>
      </c>
      <c r="H130" t="s">
        <v>833</v>
      </c>
      <c r="I130" t="s">
        <v>834</v>
      </c>
    </row>
    <row r="131" spans="1:9" x14ac:dyDescent="0.25">
      <c r="B131" s="24" t="s">
        <v>835</v>
      </c>
      <c r="C131" s="24" t="s">
        <v>836</v>
      </c>
      <c r="D131" s="24" t="s">
        <v>831</v>
      </c>
      <c r="E131" s="31">
        <v>10900</v>
      </c>
      <c r="F131" t="s">
        <v>832</v>
      </c>
      <c r="H131" t="s">
        <v>833</v>
      </c>
      <c r="I131" t="s">
        <v>834</v>
      </c>
    </row>
    <row r="132" spans="1:9" x14ac:dyDescent="0.25">
      <c r="B132" s="24" t="s">
        <v>837</v>
      </c>
      <c r="C132" s="24" t="s">
        <v>838</v>
      </c>
      <c r="D132" s="24" t="s">
        <v>831</v>
      </c>
      <c r="E132" s="31">
        <v>14400</v>
      </c>
      <c r="F132" t="s">
        <v>832</v>
      </c>
      <c r="H132" t="s">
        <v>833</v>
      </c>
      <c r="I132" t="s">
        <v>834</v>
      </c>
    </row>
    <row r="133" spans="1:9" x14ac:dyDescent="0.25">
      <c r="B133" s="24" t="s">
        <v>839</v>
      </c>
      <c r="C133" s="24" t="s">
        <v>840</v>
      </c>
      <c r="D133" s="24" t="s">
        <v>831</v>
      </c>
      <c r="E133" s="31">
        <v>7140</v>
      </c>
      <c r="F133" t="s">
        <v>832</v>
      </c>
      <c r="H133" t="s">
        <v>833</v>
      </c>
      <c r="I133" t="s">
        <v>834</v>
      </c>
    </row>
    <row r="134" spans="1:9" x14ac:dyDescent="0.25">
      <c r="B134" s="24" t="s">
        <v>841</v>
      </c>
      <c r="C134" s="24" t="s">
        <v>842</v>
      </c>
      <c r="D134" s="24" t="s">
        <v>831</v>
      </c>
      <c r="E134" s="31">
        <v>4657</v>
      </c>
      <c r="F134" t="s">
        <v>832</v>
      </c>
      <c r="H134" t="s">
        <v>833</v>
      </c>
      <c r="I134" t="s">
        <v>834</v>
      </c>
    </row>
    <row r="135" spans="1:9" x14ac:dyDescent="0.25">
      <c r="B135" s="24" t="s">
        <v>843</v>
      </c>
      <c r="C135" s="24" t="s">
        <v>844</v>
      </c>
      <c r="D135" s="24" t="s">
        <v>831</v>
      </c>
      <c r="E135" s="31">
        <v>1810</v>
      </c>
      <c r="F135" t="s">
        <v>832</v>
      </c>
      <c r="H135" t="s">
        <v>833</v>
      </c>
      <c r="I135" t="s">
        <v>834</v>
      </c>
    </row>
    <row r="136" spans="1:9" x14ac:dyDescent="0.25">
      <c r="B136" s="24" t="s">
        <v>845</v>
      </c>
      <c r="C136" s="24" t="s">
        <v>846</v>
      </c>
      <c r="D136" s="24" t="s">
        <v>831</v>
      </c>
      <c r="E136" s="31">
        <v>1182</v>
      </c>
      <c r="F136" t="s">
        <v>832</v>
      </c>
      <c r="H136" t="s">
        <v>833</v>
      </c>
      <c r="I136" t="s">
        <v>834</v>
      </c>
    </row>
    <row r="137" spans="1:9" x14ac:dyDescent="0.25">
      <c r="B137" s="24" t="s">
        <v>847</v>
      </c>
      <c r="C137" s="24" t="s">
        <v>848</v>
      </c>
      <c r="D137" s="24" t="s">
        <v>831</v>
      </c>
      <c r="E137" s="31">
        <v>2788</v>
      </c>
      <c r="F137" t="s">
        <v>832</v>
      </c>
      <c r="H137" t="s">
        <v>833</v>
      </c>
      <c r="I137" t="s">
        <v>834</v>
      </c>
    </row>
    <row r="138" spans="1:9" x14ac:dyDescent="0.25">
      <c r="B138" s="24" t="s">
        <v>849</v>
      </c>
      <c r="C138" s="24" t="s">
        <v>850</v>
      </c>
      <c r="D138" s="24" t="s">
        <v>831</v>
      </c>
      <c r="E138" s="31">
        <v>2416</v>
      </c>
      <c r="F138" t="s">
        <v>832</v>
      </c>
      <c r="H138" t="s">
        <v>833</v>
      </c>
      <c r="I138" t="s">
        <v>834</v>
      </c>
    </row>
    <row r="139" spans="1:9" x14ac:dyDescent="0.25">
      <c r="B139" s="24" t="s">
        <v>851</v>
      </c>
      <c r="C139" s="24" t="s">
        <v>852</v>
      </c>
      <c r="D139" s="24" t="s">
        <v>831</v>
      </c>
      <c r="E139" s="31">
        <v>3152</v>
      </c>
      <c r="F139" t="s">
        <v>832</v>
      </c>
      <c r="H139" t="s">
        <v>833</v>
      </c>
      <c r="I139" t="s">
        <v>834</v>
      </c>
    </row>
    <row r="140" spans="1:9" x14ac:dyDescent="0.25">
      <c r="B140" s="24" t="s">
        <v>853</v>
      </c>
      <c r="C140" s="24" t="s">
        <v>854</v>
      </c>
      <c r="D140" s="24" t="s">
        <v>831</v>
      </c>
      <c r="E140" s="31">
        <v>1585</v>
      </c>
      <c r="F140" t="s">
        <v>832</v>
      </c>
      <c r="H140" t="s">
        <v>833</v>
      </c>
      <c r="I140" t="s">
        <v>834</v>
      </c>
    </row>
    <row r="141" spans="1:9" x14ac:dyDescent="0.25">
      <c r="B141" s="24" t="s">
        <v>855</v>
      </c>
      <c r="C141" s="24" t="s">
        <v>856</v>
      </c>
      <c r="D141" s="24" t="s">
        <v>831</v>
      </c>
      <c r="E141" s="32">
        <v>3.7</v>
      </c>
      <c r="F141" t="s">
        <v>832</v>
      </c>
      <c r="H141" t="s">
        <v>833</v>
      </c>
      <c r="I141" t="s">
        <v>834</v>
      </c>
    </row>
    <row r="142" spans="1:9" x14ac:dyDescent="0.25">
      <c r="B142" s="24" t="s">
        <v>857</v>
      </c>
      <c r="C142" s="24" t="s">
        <v>858</v>
      </c>
      <c r="D142" s="24" t="s">
        <v>831</v>
      </c>
      <c r="E142" s="32">
        <v>0.4</v>
      </c>
      <c r="F142" t="s">
        <v>832</v>
      </c>
      <c r="H142" t="s">
        <v>833</v>
      </c>
      <c r="I142" t="s">
        <v>834</v>
      </c>
    </row>
    <row r="143" spans="1:9" x14ac:dyDescent="0.25">
      <c r="B143" s="24" t="s">
        <v>859</v>
      </c>
      <c r="C143" s="24" t="s">
        <v>860</v>
      </c>
      <c r="D143" s="24" t="s">
        <v>831</v>
      </c>
      <c r="E143" s="32">
        <v>0.8</v>
      </c>
      <c r="F143" t="s">
        <v>832</v>
      </c>
      <c r="H143" t="s">
        <v>833</v>
      </c>
      <c r="I143" t="s">
        <v>834</v>
      </c>
    </row>
    <row r="144" spans="1:9" x14ac:dyDescent="0.25">
      <c r="B144" s="24" t="s">
        <v>861</v>
      </c>
      <c r="C144" s="24" t="s">
        <v>862</v>
      </c>
      <c r="D144" s="24" t="s">
        <v>831</v>
      </c>
      <c r="E144" s="31">
        <v>14800</v>
      </c>
      <c r="F144" t="s">
        <v>832</v>
      </c>
      <c r="H144" t="s">
        <v>833</v>
      </c>
      <c r="I144" t="s">
        <v>834</v>
      </c>
    </row>
    <row r="145" spans="2:9" x14ac:dyDescent="0.25">
      <c r="B145" s="24" t="s">
        <v>863</v>
      </c>
      <c r="C145" s="24" t="s">
        <v>864</v>
      </c>
      <c r="D145" s="24" t="s">
        <v>831</v>
      </c>
      <c r="E145" s="31">
        <v>675</v>
      </c>
      <c r="F145" t="s">
        <v>832</v>
      </c>
      <c r="H145" t="s">
        <v>833</v>
      </c>
      <c r="I145" t="s">
        <v>834</v>
      </c>
    </row>
    <row r="146" spans="2:9" x14ac:dyDescent="0.25">
      <c r="B146" s="24" t="s">
        <v>865</v>
      </c>
      <c r="C146" s="24" t="s">
        <v>866</v>
      </c>
      <c r="D146" s="24" t="s">
        <v>831</v>
      </c>
      <c r="E146" s="31">
        <v>1430</v>
      </c>
      <c r="F146" t="s">
        <v>832</v>
      </c>
      <c r="H146" t="s">
        <v>833</v>
      </c>
      <c r="I146" t="s">
        <v>834</v>
      </c>
    </row>
    <row r="147" spans="2:9" x14ac:dyDescent="0.25">
      <c r="B147" s="24" t="s">
        <v>867</v>
      </c>
      <c r="C147" s="24" t="s">
        <v>868</v>
      </c>
      <c r="D147" s="24" t="s">
        <v>831</v>
      </c>
      <c r="E147" s="31">
        <v>4470</v>
      </c>
      <c r="F147" t="s">
        <v>832</v>
      </c>
      <c r="H147" t="s">
        <v>833</v>
      </c>
      <c r="I147" t="s">
        <v>834</v>
      </c>
    </row>
    <row r="148" spans="2:9" x14ac:dyDescent="0.25">
      <c r="B148" s="24" t="s">
        <v>869</v>
      </c>
      <c r="C148" s="24" t="s">
        <v>870</v>
      </c>
      <c r="D148" s="24" t="s">
        <v>831</v>
      </c>
      <c r="E148" s="31">
        <v>3992</v>
      </c>
      <c r="F148" t="s">
        <v>832</v>
      </c>
      <c r="H148" t="s">
        <v>833</v>
      </c>
      <c r="I148" t="s">
        <v>834</v>
      </c>
    </row>
    <row r="149" spans="2:9" x14ac:dyDescent="0.25">
      <c r="B149" s="24" t="s">
        <v>871</v>
      </c>
      <c r="C149" s="24" t="s">
        <v>872</v>
      </c>
      <c r="D149" s="24" t="s">
        <v>831</v>
      </c>
      <c r="E149" s="31">
        <v>1774</v>
      </c>
      <c r="F149" t="s">
        <v>832</v>
      </c>
      <c r="H149" t="s">
        <v>833</v>
      </c>
      <c r="I149" t="s">
        <v>834</v>
      </c>
    </row>
    <row r="150" spans="2:9" x14ac:dyDescent="0.25">
      <c r="B150" s="24" t="s">
        <v>873</v>
      </c>
      <c r="C150" s="24" t="s">
        <v>874</v>
      </c>
      <c r="D150" s="24" t="s">
        <v>831</v>
      </c>
      <c r="E150" s="31">
        <v>1825</v>
      </c>
      <c r="F150" t="s">
        <v>832</v>
      </c>
      <c r="H150" t="s">
        <v>833</v>
      </c>
      <c r="I150" t="s">
        <v>834</v>
      </c>
    </row>
    <row r="151" spans="2:9" x14ac:dyDescent="0.25">
      <c r="B151" s="24" t="s">
        <v>875</v>
      </c>
      <c r="C151" s="24" t="s">
        <v>876</v>
      </c>
      <c r="D151" s="24" t="s">
        <v>831</v>
      </c>
      <c r="E151" s="31">
        <v>2088</v>
      </c>
      <c r="F151" t="s">
        <v>832</v>
      </c>
      <c r="H151" t="s">
        <v>833</v>
      </c>
      <c r="I151" t="s">
        <v>834</v>
      </c>
    </row>
    <row r="152" spans="2:9" x14ac:dyDescent="0.25">
      <c r="B152" s="24" t="s">
        <v>877</v>
      </c>
      <c r="C152" s="24" t="s">
        <v>878</v>
      </c>
      <c r="D152" s="24" t="s">
        <v>831</v>
      </c>
      <c r="E152" s="31">
        <v>2053</v>
      </c>
      <c r="F152" t="s">
        <v>832</v>
      </c>
      <c r="H152" t="s">
        <v>833</v>
      </c>
      <c r="I152" t="s">
        <v>834</v>
      </c>
    </row>
    <row r="153" spans="2:9" x14ac:dyDescent="0.25">
      <c r="B153" s="24" t="s">
        <v>879</v>
      </c>
      <c r="C153" s="24" t="s">
        <v>880</v>
      </c>
      <c r="D153" s="24" t="s">
        <v>831</v>
      </c>
      <c r="E153" s="31">
        <v>2346</v>
      </c>
      <c r="F153" t="s">
        <v>832</v>
      </c>
      <c r="H153" t="s">
        <v>833</v>
      </c>
      <c r="I153" t="s">
        <v>834</v>
      </c>
    </row>
    <row r="154" spans="2:9" x14ac:dyDescent="0.25">
      <c r="B154" s="24" t="s">
        <v>881</v>
      </c>
      <c r="C154" s="24" t="s">
        <v>882</v>
      </c>
      <c r="D154" s="24" t="s">
        <v>831</v>
      </c>
      <c r="E154" s="31">
        <v>3143</v>
      </c>
      <c r="F154" t="s">
        <v>832</v>
      </c>
      <c r="H154" t="s">
        <v>833</v>
      </c>
      <c r="I154" t="s">
        <v>834</v>
      </c>
    </row>
    <row r="155" spans="2:9" x14ac:dyDescent="0.25">
      <c r="B155" s="24" t="s">
        <v>883</v>
      </c>
      <c r="C155" s="24" t="s">
        <v>884</v>
      </c>
      <c r="D155" s="24" t="s">
        <v>831</v>
      </c>
      <c r="E155" s="31">
        <v>2729</v>
      </c>
      <c r="F155" t="s">
        <v>832</v>
      </c>
      <c r="H155" t="s">
        <v>833</v>
      </c>
      <c r="I155" t="s">
        <v>834</v>
      </c>
    </row>
    <row r="156" spans="2:9" x14ac:dyDescent="0.25">
      <c r="B156" s="24" t="s">
        <v>885</v>
      </c>
      <c r="C156" s="24" t="s">
        <v>886</v>
      </c>
      <c r="D156" s="24" t="s">
        <v>831</v>
      </c>
      <c r="E156" s="31">
        <v>1805</v>
      </c>
      <c r="F156" t="s">
        <v>832</v>
      </c>
      <c r="H156" t="s">
        <v>833</v>
      </c>
      <c r="I156" t="s">
        <v>834</v>
      </c>
    </row>
    <row r="157" spans="2:9" x14ac:dyDescent="0.25">
      <c r="B157" s="24" t="s">
        <v>887</v>
      </c>
      <c r="C157" s="24" t="s">
        <v>888</v>
      </c>
      <c r="D157" s="24" t="s">
        <v>831</v>
      </c>
      <c r="E157" s="31">
        <v>3985</v>
      </c>
      <c r="F157" t="s">
        <v>832</v>
      </c>
      <c r="H157" t="s">
        <v>833</v>
      </c>
      <c r="I157" t="s">
        <v>834</v>
      </c>
    </row>
    <row r="158" spans="2:9" x14ac:dyDescent="0.25">
      <c r="B158" s="24" t="s">
        <v>889</v>
      </c>
      <c r="C158" s="24" t="s">
        <v>890</v>
      </c>
      <c r="D158" s="24" t="s">
        <v>831</v>
      </c>
      <c r="E158" s="31">
        <v>13214</v>
      </c>
      <c r="F158" t="s">
        <v>832</v>
      </c>
      <c r="H158" t="s">
        <v>833</v>
      </c>
      <c r="I158" t="s">
        <v>834</v>
      </c>
    </row>
    <row r="159" spans="2:9" x14ac:dyDescent="0.25">
      <c r="B159" s="24" t="s">
        <v>891</v>
      </c>
      <c r="C159" s="24" t="s">
        <v>892</v>
      </c>
      <c r="D159" s="24" t="s">
        <v>831</v>
      </c>
      <c r="E159" s="31">
        <v>13396</v>
      </c>
      <c r="F159" t="s">
        <v>832</v>
      </c>
      <c r="H159" t="s">
        <v>833</v>
      </c>
      <c r="I159" t="s">
        <v>834</v>
      </c>
    </row>
    <row r="160" spans="2:9" x14ac:dyDescent="0.25">
      <c r="B160" s="24" t="s">
        <v>893</v>
      </c>
      <c r="C160" s="24" t="s">
        <v>894</v>
      </c>
      <c r="D160" s="24" t="s">
        <v>831</v>
      </c>
      <c r="E160" s="31">
        <v>1386</v>
      </c>
      <c r="F160" t="s">
        <v>832</v>
      </c>
      <c r="H160" t="s">
        <v>833</v>
      </c>
      <c r="I160" t="s">
        <v>834</v>
      </c>
    </row>
    <row r="161" spans="2:9" x14ac:dyDescent="0.25">
      <c r="B161" s="24" t="s">
        <v>895</v>
      </c>
      <c r="C161" s="24" t="s">
        <v>896</v>
      </c>
      <c r="D161" s="24" t="s">
        <v>831</v>
      </c>
      <c r="E161" s="31">
        <v>1396</v>
      </c>
      <c r="F161" t="s">
        <v>832</v>
      </c>
      <c r="H161" t="s">
        <v>833</v>
      </c>
      <c r="I161" t="s">
        <v>834</v>
      </c>
    </row>
    <row r="162" spans="2:9" x14ac:dyDescent="0.25">
      <c r="B162" s="24" t="s">
        <v>897</v>
      </c>
      <c r="C162" s="24" t="s">
        <v>898</v>
      </c>
      <c r="D162" s="24" t="s">
        <v>831</v>
      </c>
      <c r="E162" s="31">
        <v>601</v>
      </c>
      <c r="F162" t="s">
        <v>832</v>
      </c>
      <c r="H162" t="s">
        <v>833</v>
      </c>
      <c r="I162" t="s">
        <v>834</v>
      </c>
    </row>
    <row r="163" spans="2:9" x14ac:dyDescent="0.25">
      <c r="B163" s="24" t="s">
        <v>899</v>
      </c>
      <c r="C163" s="24" t="s">
        <v>900</v>
      </c>
      <c r="D163" s="24" t="s">
        <v>831</v>
      </c>
      <c r="E163" s="31">
        <v>2140</v>
      </c>
      <c r="F163" t="s">
        <v>832</v>
      </c>
      <c r="H163" t="s">
        <v>833</v>
      </c>
      <c r="I163" t="s">
        <v>834</v>
      </c>
    </row>
    <row r="164" spans="2:9" x14ac:dyDescent="0.25">
      <c r="B164" s="24" t="s">
        <v>901</v>
      </c>
      <c r="C164" s="24" t="s">
        <v>902</v>
      </c>
      <c r="D164" s="24" t="s">
        <v>831</v>
      </c>
      <c r="E164" s="31">
        <v>146</v>
      </c>
      <c r="F164" t="s">
        <v>832</v>
      </c>
      <c r="H164" t="s">
        <v>833</v>
      </c>
      <c r="I164" t="s">
        <v>834</v>
      </c>
    </row>
    <row r="165" spans="2:9" x14ac:dyDescent="0.25">
      <c r="B165" s="24" t="s">
        <v>903</v>
      </c>
      <c r="C165" s="24" t="s">
        <v>904</v>
      </c>
      <c r="D165" s="24" t="s">
        <v>831</v>
      </c>
      <c r="E165" s="31">
        <v>146</v>
      </c>
      <c r="F165" t="s">
        <v>832</v>
      </c>
      <c r="H165" t="s">
        <v>833</v>
      </c>
      <c r="I165" t="s">
        <v>834</v>
      </c>
    </row>
    <row r="166" spans="2:9" x14ac:dyDescent="0.25">
      <c r="B166" s="24" t="s">
        <v>905</v>
      </c>
      <c r="C166" s="24" t="s">
        <v>906</v>
      </c>
      <c r="D166" s="24" t="s">
        <v>831</v>
      </c>
      <c r="E166" s="31">
        <v>630</v>
      </c>
      <c r="F166" t="s">
        <v>832</v>
      </c>
      <c r="H166" t="s">
        <v>833</v>
      </c>
      <c r="I166" t="s">
        <v>834</v>
      </c>
    </row>
    <row r="167" spans="2:9" x14ac:dyDescent="0.25">
      <c r="B167" s="24" t="s">
        <v>907</v>
      </c>
      <c r="C167" s="24" t="s">
        <v>908</v>
      </c>
      <c r="D167" s="24" t="s">
        <v>831</v>
      </c>
      <c r="E167" s="31">
        <v>6</v>
      </c>
      <c r="F167" t="s">
        <v>832</v>
      </c>
      <c r="H167" t="s">
        <v>833</v>
      </c>
      <c r="I167" t="s">
        <v>834</v>
      </c>
    </row>
    <row r="168" spans="2:9" x14ac:dyDescent="0.25">
      <c r="B168" s="24" t="s">
        <v>909</v>
      </c>
      <c r="C168" s="24" t="s">
        <v>910</v>
      </c>
      <c r="D168" s="24" t="s">
        <v>831</v>
      </c>
      <c r="E168" s="31">
        <v>3</v>
      </c>
      <c r="F168" t="s">
        <v>832</v>
      </c>
      <c r="H168" t="s">
        <v>833</v>
      </c>
      <c r="I168" t="s">
        <v>834</v>
      </c>
    </row>
    <row r="169" spans="2:9" x14ac:dyDescent="0.25">
      <c r="B169" s="24" t="s">
        <v>911</v>
      </c>
      <c r="C169" s="24" t="s">
        <v>912</v>
      </c>
      <c r="D169" s="24" t="s">
        <v>831</v>
      </c>
      <c r="E169" s="31">
        <v>0</v>
      </c>
      <c r="F169" t="s">
        <v>832</v>
      </c>
      <c r="H169" t="s">
        <v>833</v>
      </c>
      <c r="I169" t="s">
        <v>834</v>
      </c>
    </row>
    <row r="170" spans="2:9" x14ac:dyDescent="0.25">
      <c r="B170" s="24" t="s">
        <v>913</v>
      </c>
      <c r="C170" s="24" t="s">
        <v>914</v>
      </c>
      <c r="D170" s="24" t="s">
        <v>831</v>
      </c>
      <c r="E170" s="31">
        <v>0</v>
      </c>
      <c r="F170" t="s">
        <v>832</v>
      </c>
      <c r="H170" t="s">
        <v>833</v>
      </c>
      <c r="I170" t="s">
        <v>834</v>
      </c>
    </row>
    <row r="171" spans="2:9" x14ac:dyDescent="0.25">
      <c r="B171" s="24" t="s">
        <v>915</v>
      </c>
      <c r="C171" s="24" t="s">
        <v>916</v>
      </c>
      <c r="D171" s="24" t="s">
        <v>831</v>
      </c>
      <c r="E171" s="31">
        <v>1</v>
      </c>
      <c r="F171" t="s">
        <v>832</v>
      </c>
      <c r="H171" t="s">
        <v>833</v>
      </c>
      <c r="I171" t="s">
        <v>834</v>
      </c>
    </row>
    <row r="172" spans="2:9" x14ac:dyDescent="0.25">
      <c r="B172" s="24" t="s">
        <v>917</v>
      </c>
      <c r="C172" s="24" t="s">
        <v>918</v>
      </c>
      <c r="D172" s="24" t="s">
        <v>831</v>
      </c>
      <c r="E172" s="31">
        <v>4</v>
      </c>
      <c r="F172" t="s">
        <v>832</v>
      </c>
      <c r="H172" t="s">
        <v>833</v>
      </c>
      <c r="I172" t="s">
        <v>834</v>
      </c>
    </row>
    <row r="173" spans="2:9" x14ac:dyDescent="0.25">
      <c r="B173" s="24" t="s">
        <v>919</v>
      </c>
      <c r="C173" s="24" t="s">
        <v>920</v>
      </c>
      <c r="D173" s="24" t="s">
        <v>831</v>
      </c>
      <c r="E173" s="31">
        <v>3</v>
      </c>
      <c r="F173" t="s">
        <v>832</v>
      </c>
      <c r="H173" t="s">
        <v>833</v>
      </c>
      <c r="I173" t="s">
        <v>834</v>
      </c>
    </row>
    <row r="174" spans="2:9" x14ac:dyDescent="0.25">
      <c r="B174" s="24" t="s">
        <v>921</v>
      </c>
      <c r="C174" s="24" t="s">
        <v>922</v>
      </c>
      <c r="D174" s="24" t="s">
        <v>831</v>
      </c>
      <c r="E174" s="31">
        <v>2</v>
      </c>
      <c r="F174" t="s">
        <v>832</v>
      </c>
      <c r="H174" t="s">
        <v>833</v>
      </c>
      <c r="I174" t="s">
        <v>834</v>
      </c>
    </row>
    <row r="175" spans="2:9" x14ac:dyDescent="0.25">
      <c r="B175" s="24" t="s">
        <v>923</v>
      </c>
      <c r="C175" s="24" t="s">
        <v>924</v>
      </c>
      <c r="D175" s="24" t="s">
        <v>831</v>
      </c>
      <c r="E175" s="31">
        <v>3</v>
      </c>
      <c r="F175" t="s">
        <v>832</v>
      </c>
      <c r="H175" t="s">
        <v>833</v>
      </c>
      <c r="I175" t="s">
        <v>834</v>
      </c>
    </row>
    <row r="176" spans="2:9" x14ac:dyDescent="0.25">
      <c r="B176" s="24" t="s">
        <v>925</v>
      </c>
      <c r="C176" s="24" t="s">
        <v>926</v>
      </c>
      <c r="D176" s="24" t="s">
        <v>831</v>
      </c>
      <c r="E176" s="31">
        <v>3</v>
      </c>
      <c r="F176" t="s">
        <v>832</v>
      </c>
      <c r="H176" t="s">
        <v>833</v>
      </c>
      <c r="I176" t="s">
        <v>834</v>
      </c>
    </row>
    <row r="177" spans="2:9" x14ac:dyDescent="0.25">
      <c r="B177" s="24" t="s">
        <v>927</v>
      </c>
      <c r="C177" s="24" t="s">
        <v>928</v>
      </c>
      <c r="D177" s="24" t="s">
        <v>831</v>
      </c>
      <c r="E177" s="31">
        <v>8</v>
      </c>
      <c r="F177" t="s">
        <v>832</v>
      </c>
      <c r="H177" t="s">
        <v>833</v>
      </c>
      <c r="I177" t="s">
        <v>834</v>
      </c>
    </row>
    <row r="178" spans="2:9" x14ac:dyDescent="0.25">
      <c r="B178" s="24" t="s">
        <v>929</v>
      </c>
      <c r="C178" s="24" t="s">
        <v>930</v>
      </c>
      <c r="D178" s="24" t="s">
        <v>831</v>
      </c>
      <c r="E178" s="31">
        <v>1</v>
      </c>
      <c r="F178" t="s">
        <v>832</v>
      </c>
      <c r="H178" t="s">
        <v>833</v>
      </c>
      <c r="I178" t="s">
        <v>834</v>
      </c>
    </row>
    <row r="179" spans="2:9" x14ac:dyDescent="0.25">
      <c r="B179" s="24" t="s">
        <v>931</v>
      </c>
      <c r="C179" s="24" t="s">
        <v>932</v>
      </c>
      <c r="D179" s="24" t="s">
        <v>831</v>
      </c>
      <c r="E179" s="31">
        <v>1</v>
      </c>
      <c r="F179" t="s">
        <v>832</v>
      </c>
      <c r="H179" t="s">
        <v>833</v>
      </c>
      <c r="I179" t="s">
        <v>834</v>
      </c>
    </row>
    <row r="180" spans="2:9" x14ac:dyDescent="0.25">
      <c r="B180" s="24" t="s">
        <v>933</v>
      </c>
      <c r="C180" s="24" t="s">
        <v>934</v>
      </c>
      <c r="D180" s="24" t="s">
        <v>831</v>
      </c>
      <c r="E180" s="31">
        <v>2</v>
      </c>
      <c r="F180" t="s">
        <v>832</v>
      </c>
      <c r="H180" t="s">
        <v>833</v>
      </c>
      <c r="I180" t="s">
        <v>834</v>
      </c>
    </row>
    <row r="181" spans="2:9" x14ac:dyDescent="0.25">
      <c r="B181" s="24" t="s">
        <v>935</v>
      </c>
      <c r="C181" s="24" t="s">
        <v>936</v>
      </c>
      <c r="D181" s="24" t="s">
        <v>831</v>
      </c>
      <c r="E181" s="31">
        <v>26087</v>
      </c>
      <c r="F181" t="s">
        <v>832</v>
      </c>
      <c r="H181" t="s">
        <v>833</v>
      </c>
      <c r="I181" t="s">
        <v>834</v>
      </c>
    </row>
  </sheetData>
  <hyperlinks>
    <hyperlink ref="J40" r:id="rId1" xr:uid="{E05EE99C-A875-483E-BDB9-2F807AEDDD0F}"/>
    <hyperlink ref="J45" r:id="rId2" xr:uid="{760E0D1F-75E2-4F5B-8335-7451C3CBB148}"/>
    <hyperlink ref="J24" r:id="rId3" xr:uid="{34DD7A85-4DD7-451A-8BE3-59F02E89FF67}"/>
    <hyperlink ref="J25" r:id="rId4" xr:uid="{BEC6B9A8-DE64-4E53-A72A-6439A3CD6F62}"/>
    <hyperlink ref="J33" r:id="rId5" xr:uid="{755882D0-EF9C-48BF-851F-0B5AD74EDA78}"/>
    <hyperlink ref="J34" r:id="rId6" xr:uid="{6532B09D-DFDB-4F0B-BBA8-0F96164C9E2C}"/>
    <hyperlink ref="J35" r:id="rId7" xr:uid="{5004F2AA-61C1-4B9F-865C-A9AC99BFFA10}"/>
    <hyperlink ref="J29" r:id="rId8" xr:uid="{D72F6970-430B-4DBB-B20E-0046145059FA}"/>
    <hyperlink ref="J30" r:id="rId9" xr:uid="{3E0769AA-4B1F-42FB-A387-4C186195CB44}"/>
    <hyperlink ref="J31" r:id="rId10" xr:uid="{49577159-3362-401D-86FD-B370703BFCD0}"/>
    <hyperlink ref="J41" r:id="rId11" xr:uid="{EEDA94D3-FE06-41B0-BE90-D18C032B4FBF}"/>
    <hyperlink ref="J46" r:id="rId12" xr:uid="{B4DC74EB-7B6D-4E72-BD31-3BD7C270CBA6}"/>
    <hyperlink ref="J48" r:id="rId13" xr:uid="{FB7E7257-398F-49EA-9705-50EA335E19F1}"/>
    <hyperlink ref="I73" r:id="rId14" location="verkehrsmittelvergleich_personenverkehr_grafik" xr:uid="{C0A1A6D2-655B-4CC8-90CD-D75855336001}"/>
    <hyperlink ref="I78" r:id="rId15" location="Strommix" xr:uid="{C515D8A2-997C-4855-AC11-2E113B4E3F14}"/>
    <hyperlink ref="I66" r:id="rId16" xr:uid="{4CC65EAA-1748-4D93-A61B-A5E02DD49890}"/>
    <hyperlink ref="I67" r:id="rId17" xr:uid="{39DDBE22-A57D-4C24-A550-2E3F0C34B693}"/>
    <hyperlink ref="I7" r:id="rId18" xr:uid="{6805C07B-6361-42AA-B45A-224E3BE80E1D}"/>
    <hyperlink ref="I80" r:id="rId19" xr:uid="{C7350D2D-58DE-4475-9A22-20FB812F3649}"/>
    <hyperlink ref="I81" r:id="rId20" xr:uid="{FD284CA0-3860-4637-A9B0-1F92A177EA10}"/>
    <hyperlink ref="I120" r:id="rId21" xr:uid="{0BEE9F5C-B864-4F81-ABE0-CEFD645FFD2F}"/>
    <hyperlink ref="I85" r:id="rId22" xr:uid="{014F6DA5-7718-4704-9680-CBAF4C1EDF7D}"/>
    <hyperlink ref="I86" r:id="rId23" xr:uid="{7FD0AF71-7EEB-4756-BAE3-27340D89E3D3}"/>
    <hyperlink ref="I87" r:id="rId24" xr:uid="{E86EAC6F-DA08-4B65-9FDC-8B77E27B836F}"/>
    <hyperlink ref="I88" r:id="rId25" xr:uid="{39DB7946-B824-456F-A655-DBEA16D37710}"/>
    <hyperlink ref="I89" r:id="rId26" xr:uid="{8B3EF17D-5CBA-43AF-8022-856BB6EAAC87}"/>
    <hyperlink ref="I90" r:id="rId27" xr:uid="{3D7D8B12-E915-45D2-9CEE-E270ADCEAB50}"/>
    <hyperlink ref="I106" r:id="rId28" location="Strommix" xr:uid="{DBB6C0D0-ECDB-487C-B96D-CF7A73C65589}"/>
    <hyperlink ref="J68" r:id="rId29" xr:uid="{913C89AA-5F01-4918-8910-E0B3E0E89263}"/>
    <hyperlink ref="J49" r:id="rId30" xr:uid="{E247984E-835A-416F-BE0D-0B3ED1C516D1}"/>
    <hyperlink ref="J26" r:id="rId31" xr:uid="{8BE9D655-1E0F-4FD7-A0A1-909E5C561878}"/>
    <hyperlink ref="J76" r:id="rId32" xr:uid="{8993AFBD-6B65-44D4-84CA-EBE5683B9B92}"/>
    <hyperlink ref="I84" r:id="rId33" xr:uid="{1BE7C88F-44FA-422A-AFFE-36D55448998A}"/>
    <hyperlink ref="J9" r:id="rId34" xr:uid="{4A970080-FB38-45DB-AF7B-2B67A2F22E48}"/>
    <hyperlink ref="I8" r:id="rId35" xr:uid="{803EF2D3-0F94-463E-A451-8F63D850130C}"/>
    <hyperlink ref="I96" r:id="rId36" xr:uid="{415F6664-D35D-434E-8559-00D449DE9686}"/>
    <hyperlink ref="I97" r:id="rId37" xr:uid="{89187AF5-8E31-41F4-95EB-442124297013}"/>
    <hyperlink ref="I98" r:id="rId38" xr:uid="{0B7B7440-FDCF-4567-8F1F-2123CD92CA67}"/>
    <hyperlink ref="I93" r:id="rId39" xr:uid="{EF5C7E84-7BAF-4ACD-BF6E-04F0F3E5A6DC}"/>
    <hyperlink ref="I94" r:id="rId40" xr:uid="{BC0A517B-7D60-490B-B6C9-D041ED5CE3D9}"/>
    <hyperlink ref="I95" r:id="rId41" xr:uid="{8351263C-9946-4B54-B625-7D0F8A082327}"/>
    <hyperlink ref="I101" r:id="rId42" xr:uid="{9BBB737F-34E1-465E-9ADB-E0B52B9570BB}"/>
    <hyperlink ref="J6" r:id="rId43" xr:uid="{0D49F40B-2A39-4119-B501-80D229254D1E}"/>
    <hyperlink ref="J10" r:id="rId44" xr:uid="{D6155A00-989A-430F-8D28-560916BC66FB}"/>
    <hyperlink ref="J16" r:id="rId45" xr:uid="{A2534FAA-2C15-4F25-8E46-6275EC69E6D2}"/>
    <hyperlink ref="J17" r:id="rId46" xr:uid="{54196652-D7A4-4EB2-8D60-DA804877BE65}"/>
    <hyperlink ref="J18" r:id="rId47" xr:uid="{2A756212-0951-4EA8-994A-57A7002160B4}"/>
    <hyperlink ref="J19" r:id="rId48" xr:uid="{F477A809-5B2D-4A4D-8322-0DE057746E9E}"/>
    <hyperlink ref="J20" r:id="rId49" xr:uid="{B5F4BE32-44FC-4B68-9928-85EC3F1775B6}"/>
    <hyperlink ref="J21" r:id="rId50" xr:uid="{B8298563-C9C4-430D-8945-AC2B02473CBE}"/>
    <hyperlink ref="J22" r:id="rId51" xr:uid="{9785A2EF-D9EB-422A-87AC-42A93B0FB655}"/>
    <hyperlink ref="J23" r:id="rId52" xr:uid="{28776776-B00E-48DD-AFFC-B226C4FD345B}"/>
    <hyperlink ref="I55" r:id="rId53" location="verkehrsmittelvergleich_personenverkehr_grafik" xr:uid="{67B5929F-6C43-424E-A0D7-D49C3447DCAC}"/>
    <hyperlink ref="J125" r:id="rId54" xr:uid="{17E76DBA-ADF3-4B56-9829-62BAE88C7229}"/>
    <hyperlink ref="J126" r:id="rId55" xr:uid="{4F5ED35D-FA17-4FFE-BE50-BBBB138B48DB}"/>
    <hyperlink ref="J127" r:id="rId56" xr:uid="{54B0173C-67E7-4880-AA72-B48CDE583ED8}"/>
    <hyperlink ref="J79" r:id="rId57" display="https://www.umweltbundesamt.de/publikationen/emissionsbilanz-erneuerbarer-energietraeger-2020" xr:uid="{EDA4602B-0FB7-492D-BA76-552C4FD451CF}"/>
    <hyperlink ref="N110" r:id="rId58" xr:uid="{277245AC-37ED-4575-B100-697B267C8155}"/>
    <hyperlink ref="N111" r:id="rId59" xr:uid="{BD2FB670-F59F-4798-9AF0-B63B64F2FA1A}"/>
    <hyperlink ref="N112" r:id="rId60" xr:uid="{83CBBC23-F32B-4490-BEF5-641BC71E6C2F}"/>
    <hyperlink ref="N113" r:id="rId61" xr:uid="{0D50DAF7-2D00-414C-8A49-BF4C930B0749}"/>
  </hyperlinks>
  <pageMargins left="0.7" right="0.7" top="0.78740157499999996" bottom="0.78740157499999996" header="0.3" footer="0.3"/>
  <pageSetup paperSize="9" orientation="portrait" r:id="rId6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A2"/>
  <sheetViews>
    <sheetView workbookViewId="0">
      <selection sqref="A1:A2"/>
    </sheetView>
  </sheetViews>
  <sheetFormatPr baseColWidth="10" defaultColWidth="11.42578125" defaultRowHeight="15" x14ac:dyDescent="0.25"/>
  <sheetData>
    <row r="1" spans="1:1" x14ac:dyDescent="0.25">
      <c r="A1" s="1" t="s">
        <v>937</v>
      </c>
    </row>
    <row r="2" spans="1:1" x14ac:dyDescent="0.25">
      <c r="A2" s="1" t="s">
        <v>938</v>
      </c>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4"/>
  <dimension ref="A1:H27"/>
  <sheetViews>
    <sheetView workbookViewId="0">
      <selection activeCell="E11" sqref="E11"/>
    </sheetView>
  </sheetViews>
  <sheetFormatPr baseColWidth="10" defaultColWidth="11.42578125" defaultRowHeight="15" x14ac:dyDescent="0.25"/>
  <cols>
    <col min="1" max="1" width="29.28515625" bestFit="1" customWidth="1"/>
  </cols>
  <sheetData>
    <row r="1" spans="1:8" x14ac:dyDescent="0.25">
      <c r="A1" t="s">
        <v>939</v>
      </c>
      <c r="C1" t="s">
        <v>940</v>
      </c>
      <c r="E1" t="s">
        <v>45</v>
      </c>
      <c r="H1" t="s">
        <v>941</v>
      </c>
    </row>
    <row r="3" spans="1:8" x14ac:dyDescent="0.25">
      <c r="A3" s="2" t="s">
        <v>75</v>
      </c>
      <c r="C3" t="s">
        <v>942</v>
      </c>
      <c r="E3" t="s">
        <v>943</v>
      </c>
      <c r="H3">
        <v>2016</v>
      </c>
    </row>
    <row r="4" spans="1:8" x14ac:dyDescent="0.25">
      <c r="A4" s="2" t="s">
        <v>56</v>
      </c>
      <c r="C4" t="s">
        <v>944</v>
      </c>
      <c r="E4" t="s">
        <v>945</v>
      </c>
      <c r="H4">
        <v>2017</v>
      </c>
    </row>
    <row r="5" spans="1:8" x14ac:dyDescent="0.25">
      <c r="A5" s="3" t="s">
        <v>946</v>
      </c>
      <c r="C5" t="s">
        <v>947</v>
      </c>
      <c r="E5" t="s">
        <v>164</v>
      </c>
      <c r="H5">
        <v>2018</v>
      </c>
    </row>
    <row r="6" spans="1:8" x14ac:dyDescent="0.25">
      <c r="A6" s="3" t="s">
        <v>81</v>
      </c>
      <c r="E6" t="s">
        <v>103</v>
      </c>
      <c r="H6">
        <v>2019</v>
      </c>
    </row>
    <row r="7" spans="1:8" x14ac:dyDescent="0.25">
      <c r="A7" s="3" t="s">
        <v>948</v>
      </c>
      <c r="E7" t="s">
        <v>58</v>
      </c>
      <c r="H7">
        <v>2020</v>
      </c>
    </row>
    <row r="8" spans="1:8" x14ac:dyDescent="0.25">
      <c r="A8" s="4" t="s">
        <v>80</v>
      </c>
      <c r="E8" t="s">
        <v>63</v>
      </c>
      <c r="H8">
        <v>2021</v>
      </c>
    </row>
    <row r="9" spans="1:8" x14ac:dyDescent="0.25">
      <c r="A9" s="5" t="s">
        <v>949</v>
      </c>
      <c r="E9" t="s">
        <v>950</v>
      </c>
      <c r="H9">
        <v>2022</v>
      </c>
    </row>
    <row r="10" spans="1:8" x14ac:dyDescent="0.25">
      <c r="A10" s="5" t="s">
        <v>951</v>
      </c>
      <c r="E10" t="s">
        <v>952</v>
      </c>
      <c r="H10">
        <v>2023</v>
      </c>
    </row>
    <row r="11" spans="1:8" x14ac:dyDescent="0.25">
      <c r="H11">
        <v>2024</v>
      </c>
    </row>
    <row r="12" spans="1:8" x14ac:dyDescent="0.25">
      <c r="H12">
        <v>2025</v>
      </c>
    </row>
    <row r="13" spans="1:8" x14ac:dyDescent="0.25">
      <c r="H13">
        <v>2026</v>
      </c>
    </row>
    <row r="14" spans="1:8" x14ac:dyDescent="0.25">
      <c r="H14">
        <v>2027</v>
      </c>
    </row>
    <row r="15" spans="1:8" x14ac:dyDescent="0.25">
      <c r="H15">
        <v>2028</v>
      </c>
    </row>
    <row r="16" spans="1:8" x14ac:dyDescent="0.25">
      <c r="H16">
        <v>2029</v>
      </c>
    </row>
    <row r="17" spans="8:8" x14ac:dyDescent="0.25">
      <c r="H17">
        <v>2030</v>
      </c>
    </row>
    <row r="18" spans="8:8" x14ac:dyDescent="0.25">
      <c r="H18">
        <v>2031</v>
      </c>
    </row>
    <row r="19" spans="8:8" x14ac:dyDescent="0.25">
      <c r="H19">
        <v>2032</v>
      </c>
    </row>
    <row r="20" spans="8:8" x14ac:dyDescent="0.25">
      <c r="H20">
        <v>2033</v>
      </c>
    </row>
    <row r="21" spans="8:8" x14ac:dyDescent="0.25">
      <c r="H21">
        <v>2034</v>
      </c>
    </row>
    <row r="22" spans="8:8" x14ac:dyDescent="0.25">
      <c r="H22">
        <v>2035</v>
      </c>
    </row>
    <row r="23" spans="8:8" x14ac:dyDescent="0.25">
      <c r="H23">
        <v>2036</v>
      </c>
    </row>
    <row r="24" spans="8:8" x14ac:dyDescent="0.25">
      <c r="H24">
        <v>2037</v>
      </c>
    </row>
    <row r="25" spans="8:8" x14ac:dyDescent="0.25">
      <c r="H25">
        <v>2038</v>
      </c>
    </row>
    <row r="26" spans="8:8" x14ac:dyDescent="0.25">
      <c r="H26">
        <v>2039</v>
      </c>
    </row>
    <row r="27" spans="8:8" x14ac:dyDescent="0.25">
      <c r="H27">
        <v>2040</v>
      </c>
    </row>
  </sheetData>
  <conditionalFormatting sqref="A3">
    <cfRule type="containsText" dxfId="1" priority="2" operator="containsText" text="umgesetzt">
      <formula>NOT(ISERROR(SEARCH("umgesetzt",A3)))</formula>
    </cfRule>
  </conditionalFormatting>
  <conditionalFormatting sqref="A4">
    <cfRule type="containsText" dxfId="0" priority="1" operator="containsText" text="wird laufend umgesetzt">
      <formula>NOT(ISERROR(SEARCH("wird laufend umgesetzt",A4)))</formula>
    </cfRule>
  </conditionalFormatting>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187b82b-1ec8-469c-8531-f0585527fdc1" xsi:nil="true"/>
    <lcf76f155ced4ddcb4097134ff3c332f xmlns="b441bd8b-d277-4f4b-b5bc-64627f94771d">
      <Terms xmlns="http://schemas.microsoft.com/office/infopath/2007/PartnerControls"/>
    </lcf76f155ced4ddcb4097134ff3c332f>
    <Ordner xmlns="b441bd8b-d277-4f4b-b5bc-64627f94771d" xsi:nil="true"/>
    <WahlSch_x00fc_lersprecher_x002f__x002d_in xmlns="b441bd8b-d277-4f4b-b5bc-64627f94771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AF1A3B135206F43867ABCA4F82570A4" ma:contentTypeVersion="14" ma:contentTypeDescription="Ein neues Dokument erstellen." ma:contentTypeScope="" ma:versionID="e402bbfa9f504d597901d43b6f1b6a65">
  <xsd:schema xmlns:xsd="http://www.w3.org/2001/XMLSchema" xmlns:xs="http://www.w3.org/2001/XMLSchema" xmlns:p="http://schemas.microsoft.com/office/2006/metadata/properties" xmlns:ns2="b441bd8b-d277-4f4b-b5bc-64627f94771d" xmlns:ns3="5187b82b-1ec8-469c-8531-f0585527fdc1" targetNamespace="http://schemas.microsoft.com/office/2006/metadata/properties" ma:root="true" ma:fieldsID="705cb57954601712156196dad566ee0a" ns2:_="" ns3:_="">
    <xsd:import namespace="b441bd8b-d277-4f4b-b5bc-64627f94771d"/>
    <xsd:import namespace="5187b82b-1ec8-469c-8531-f0585527fdc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WahlSch_x00fc_lersprecher_x002f__x002d_in" minOccurs="0"/>
                <xsd:element ref="ns2:Ord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1bd8b-d277-4f4b-b5bc-64627f9477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424aa72-a4ea-4950-b25b-4e72c05f84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WahlSch_x00fc_lersprecher_x002f__x002d_in" ma:index="20" nillable="true" ma:displayName="Wahl Schülersprecher/-in" ma:format="Dropdown" ma:internalName="WahlSch_x00fc_lersprecher_x002f__x002d_in">
      <xsd:simpleType>
        <xsd:restriction base="dms:Text">
          <xsd:maxLength value="255"/>
        </xsd:restriction>
      </xsd:simpleType>
    </xsd:element>
    <xsd:element name="Ordner" ma:index="21" nillable="true" ma:displayName="Ordner" ma:format="Dropdown" ma:internalName="Ordn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87b82b-1ec8-469c-8531-f0585527fd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0ee6a9d-2e1e-469f-997a-420614500735}" ma:internalName="TaxCatchAll" ma:showField="CatchAllData" ma:web="5187b82b-1ec8-469c-8531-f0585527f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1FA55F-D8B1-41BC-8DA3-A3BE6E70339D}">
  <ds:schemaRefs>
    <ds:schemaRef ds:uri="http://www.w3.org/XML/1998/namespace"/>
    <ds:schemaRef ds:uri="http://schemas.microsoft.com/office/infopath/2007/PartnerControls"/>
    <ds:schemaRef ds:uri="http://schemas.microsoft.com/office/2006/documentManagement/types"/>
    <ds:schemaRef ds:uri="5187b82b-1ec8-469c-8531-f0585527fdc1"/>
    <ds:schemaRef ds:uri="http://purl.org/dc/terms/"/>
    <ds:schemaRef ds:uri="b441bd8b-d277-4f4b-b5bc-64627f94771d"/>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15E7AD3D-9A8A-448F-A069-27DF578FC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1bd8b-d277-4f4b-b5bc-64627f94771d"/>
    <ds:schemaRef ds:uri="5187b82b-1ec8-469c-8531-f0585527f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C72758-BDB6-4DC9-B343-93E64DB930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Überblick</vt:lpstr>
      <vt:lpstr>CO2-Reduktionspfad_alt</vt:lpstr>
      <vt:lpstr>Abfall</vt:lpstr>
      <vt:lpstr>Einkauf</vt:lpstr>
      <vt:lpstr>Ernährung</vt:lpstr>
      <vt:lpstr>Kohlenstoffbindung</vt:lpstr>
      <vt:lpstr>Kommunikation</vt:lpstr>
      <vt:lpstr>Strom</vt:lpstr>
      <vt:lpstr>Wärme</vt:lpstr>
      <vt:lpstr>Mobilität</vt:lpstr>
      <vt:lpstr>17 SDGs</vt:lpstr>
      <vt:lpstr>KW-Anpassung</vt:lpstr>
      <vt:lpstr>Kompensation</vt:lpstr>
      <vt:lpstr>CO2-Reduktionspfad</vt:lpstr>
      <vt:lpstr>FAQ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Matthias Klaubert</dc:creator>
  <cp:keywords/>
  <dc:description/>
  <cp:lastModifiedBy>Stephan Deak</cp:lastModifiedBy>
  <cp:revision/>
  <dcterms:created xsi:type="dcterms:W3CDTF">2022-01-19T10:58:17Z</dcterms:created>
  <dcterms:modified xsi:type="dcterms:W3CDTF">2026-04-14T15:07:00Z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0x010100BAF1A3B135206F43867ABCA4F82570A4</vt:lpwstr>
  </property>
  <property fmtid="{D5CDD505-2E9C-101B-9397-08002B2CF9AE}" pid="3" name="MediaServiceImageTags">
    <vt:lpwstr/>
  </property>
</Properties>
</file>